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Pavement Rectification PA-ABU NWPPL 050326/"/>
    </mc:Choice>
  </mc:AlternateContent>
  <xr:revisionPtr revIDLastSave="219" documentId="13_ncr:1_{DB7C7D0D-5176-4659-B8A2-19E505F71E8F}" xr6:coauthVersionLast="47" xr6:coauthVersionMax="47" xr10:uidLastSave="{C5D151B7-793B-4BA6-8B62-D234EF52F0B3}"/>
  <bookViews>
    <workbookView xWindow="-118" yWindow="-118" windowWidth="25370" windowHeight="13667" tabRatio="790" xr2:uid="{A166AD1F-3E40-4EA7-A525-E68802D3F6B8}"/>
  </bookViews>
  <sheets>
    <sheet name="Cover" sheetId="4" r:id="rId1"/>
    <sheet name="PR41-BOQ-ABU-SWA-RJ " sheetId="3" r:id="rId2"/>
    <sheet name="M_sheet (Rutting) ABU-SWA-RJ" sheetId="2" r:id="rId3"/>
    <sheet name="PR42-BOQ-PA-ABU RJ" sheetId="5" r:id="rId4"/>
    <sheet name="M_sheet (Rutting GJ)-PA-ABU-RJ" sheetId="6" r:id="rId5"/>
    <sheet name="PR70-BOQ-ABU-SWA-02 RJ" sheetId="7" r:id="rId6"/>
    <sheet name="SR Flexible Pavement" sheetId="8" r:id="rId7"/>
    <sheet name="Junctions" sheetId="9" r:id="rId8"/>
    <sheet name="Line drain" sheetId="10" r:id="rId9"/>
    <sheet name="Rain Water Harvesting" sheetId="11" r:id="rId10"/>
  </sheets>
  <externalReferences>
    <externalReference r:id="rId11"/>
    <externalReference r:id="rId12"/>
  </externalReferences>
  <definedNames>
    <definedName name="_xlnm._FilterDatabase" localSheetId="2" hidden="1">'M_sheet (Rutting) ABU-SWA-RJ'!$A$2:$L$40</definedName>
    <definedName name="_xlnm.Print_Area" localSheetId="0">Cover!$A$1:$J$48</definedName>
    <definedName name="_xlnm.Print_Area" localSheetId="7">Junctions!$A$1:$H$9</definedName>
    <definedName name="_xlnm.Print_Area" localSheetId="8">'Line drain'!$A$1:$I$23</definedName>
    <definedName name="_xlnm.Print_Area" localSheetId="2">'M_sheet (Rutting) ABU-SWA-RJ'!$A$1:$L$41</definedName>
    <definedName name="_xlnm.Print_Area" localSheetId="1">'PR41-BOQ-ABU-SWA-RJ '!$A$1:$G$16</definedName>
    <definedName name="_xlnm.Print_Area" localSheetId="3">'PR42-BOQ-PA-ABU RJ'!$A$1:$G$15</definedName>
    <definedName name="_xlnm.Print_Area" localSheetId="5">'PR70-BOQ-ABU-SWA-02 RJ'!$A$1:$G$30</definedName>
    <definedName name="_xlnm.Print_Titles" localSheetId="8">'Line drain'!$1:$4</definedName>
    <definedName name="_xlnm.Print_Titles" localSheetId="4">'M_sheet (Rutting GJ)-PA-ABU-RJ'!$1:$2</definedName>
    <definedName name="_xlnm.Print_Titles" localSheetId="2">'M_sheet (Rutting) ABU-SWA-RJ'!$1:$2</definedName>
    <definedName name="_xlnm.Print_Titles" localSheetId="1">'PR41-BOQ-ABU-SWA-RJ '!$1:$3</definedName>
    <definedName name="_xlnm.Print_Titles" localSheetId="5">'PR70-BOQ-ABU-SWA-02 RJ'!$1:$2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1" l="1"/>
  <c r="N22" i="10"/>
  <c r="L22" i="10"/>
  <c r="K22" i="10"/>
  <c r="G21" i="10"/>
  <c r="O20" i="10"/>
  <c r="M20" i="10"/>
  <c r="E20" i="10"/>
  <c r="O19" i="10"/>
  <c r="M19" i="10"/>
  <c r="E19" i="10"/>
  <c r="O18" i="10"/>
  <c r="M18" i="10"/>
  <c r="E18" i="10"/>
  <c r="O17" i="10"/>
  <c r="M17" i="10"/>
  <c r="E17" i="10"/>
  <c r="O16" i="10"/>
  <c r="M16" i="10"/>
  <c r="E16" i="10"/>
  <c r="O15" i="10"/>
  <c r="M15" i="10"/>
  <c r="E15" i="10"/>
  <c r="O14" i="10"/>
  <c r="M14" i="10"/>
  <c r="E14" i="10"/>
  <c r="W13" i="10"/>
  <c r="O13" i="10"/>
  <c r="M13" i="10"/>
  <c r="E13" i="10"/>
  <c r="F13" i="10" s="1"/>
  <c r="O12" i="10"/>
  <c r="M12" i="10"/>
  <c r="J12" i="10"/>
  <c r="E12" i="10"/>
  <c r="G10" i="10"/>
  <c r="G22" i="10" s="1"/>
  <c r="O9" i="10"/>
  <c r="M9" i="10"/>
  <c r="E9" i="10"/>
  <c r="O8" i="10"/>
  <c r="M8" i="10"/>
  <c r="E8" i="10"/>
  <c r="O7" i="10"/>
  <c r="M7" i="10"/>
  <c r="E7" i="10"/>
  <c r="O6" i="10"/>
  <c r="O22" i="10" s="1"/>
  <c r="M6" i="10"/>
  <c r="M22" i="10" s="1"/>
  <c r="E6" i="10"/>
  <c r="Q8" i="9"/>
  <c r="F8" i="9"/>
  <c r="S7" i="9"/>
  <c r="R7" i="9"/>
  <c r="Q7" i="9"/>
  <c r="S6" i="9"/>
  <c r="R6" i="9"/>
  <c r="Q6" i="9"/>
  <c r="S5" i="9"/>
  <c r="S8" i="9" s="1"/>
  <c r="R5" i="9"/>
  <c r="R8" i="9" s="1"/>
  <c r="Q5" i="9"/>
  <c r="P5" i="9"/>
  <c r="P8" i="9" s="1"/>
  <c r="O5" i="9"/>
  <c r="O8" i="9" s="1"/>
  <c r="N5" i="9"/>
  <c r="N8" i="9" s="1"/>
  <c r="M5" i="9"/>
  <c r="M8" i="9" s="1"/>
  <c r="L5" i="9"/>
  <c r="L8" i="9" s="1"/>
  <c r="K5" i="9"/>
  <c r="K8" i="9" s="1"/>
  <c r="E19" i="8"/>
  <c r="E18" i="8"/>
  <c r="E17" i="8"/>
  <c r="E16" i="8"/>
  <c r="E15" i="8"/>
  <c r="E11" i="8"/>
  <c r="E10" i="8"/>
  <c r="E9" i="8"/>
  <c r="E8" i="8"/>
  <c r="E7" i="8"/>
  <c r="E6" i="8"/>
  <c r="F22" i="7"/>
  <c r="E20" i="7"/>
  <c r="F20" i="7" s="1"/>
  <c r="E19" i="7"/>
  <c r="F19" i="7" s="1"/>
  <c r="E18" i="7"/>
  <c r="F18" i="7" s="1"/>
  <c r="E17" i="7"/>
  <c r="F17" i="7" s="1"/>
  <c r="E16" i="7"/>
  <c r="F16" i="7" s="1"/>
  <c r="E15" i="7"/>
  <c r="F15" i="7" s="1"/>
  <c r="E14" i="7"/>
  <c r="F14" i="7" s="1"/>
  <c r="E12" i="7"/>
  <c r="F12" i="7" s="1"/>
  <c r="E11" i="7"/>
  <c r="F11" i="7" s="1"/>
  <c r="I10" i="7"/>
  <c r="E10" i="7"/>
  <c r="F10" i="7" s="1"/>
  <c r="E9" i="7"/>
  <c r="F9" i="7" s="1"/>
  <c r="E8" i="7"/>
  <c r="F8" i="7" s="1"/>
  <c r="E7" i="7"/>
  <c r="F7" i="7" s="1"/>
  <c r="E6" i="7"/>
  <c r="F6" i="7" s="1"/>
  <c r="E5" i="7"/>
  <c r="F5" i="7" s="1"/>
  <c r="E4" i="7"/>
  <c r="F4" i="7" s="1"/>
  <c r="F23" i="7" s="1"/>
  <c r="F79" i="6"/>
  <c r="I79" i="6" s="1"/>
  <c r="J79" i="6" s="1"/>
  <c r="F78" i="6"/>
  <c r="I78" i="6" s="1"/>
  <c r="J78" i="6" s="1"/>
  <c r="F77" i="6"/>
  <c r="I77" i="6" s="1"/>
  <c r="J77" i="6" s="1"/>
  <c r="F76" i="6"/>
  <c r="I76" i="6" s="1"/>
  <c r="J76" i="6" s="1"/>
  <c r="F75" i="6"/>
  <c r="I75" i="6" s="1"/>
  <c r="J75" i="6" s="1"/>
  <c r="F74" i="6"/>
  <c r="I74" i="6" s="1"/>
  <c r="J74" i="6" s="1"/>
  <c r="F73" i="6"/>
  <c r="I73" i="6" s="1"/>
  <c r="J73" i="6" s="1"/>
  <c r="F72" i="6"/>
  <c r="I72" i="6" s="1"/>
  <c r="J72" i="6" s="1"/>
  <c r="F71" i="6"/>
  <c r="I71" i="6" s="1"/>
  <c r="J71" i="6" s="1"/>
  <c r="F70" i="6"/>
  <c r="I70" i="6" s="1"/>
  <c r="J70" i="6" s="1"/>
  <c r="F69" i="6"/>
  <c r="I69" i="6" s="1"/>
  <c r="J69" i="6" s="1"/>
  <c r="F68" i="6"/>
  <c r="I68" i="6" s="1"/>
  <c r="J68" i="6" s="1"/>
  <c r="F67" i="6"/>
  <c r="I67" i="6" s="1"/>
  <c r="J67" i="6" s="1"/>
  <c r="F66" i="6"/>
  <c r="I66" i="6" s="1"/>
  <c r="J66" i="6" s="1"/>
  <c r="F65" i="6"/>
  <c r="I65" i="6" s="1"/>
  <c r="J65" i="6" s="1"/>
  <c r="F64" i="6"/>
  <c r="I64" i="6" s="1"/>
  <c r="J64" i="6" s="1"/>
  <c r="F63" i="6"/>
  <c r="I63" i="6" s="1"/>
  <c r="J63" i="6" s="1"/>
  <c r="F62" i="6"/>
  <c r="I62" i="6" s="1"/>
  <c r="J62" i="6" s="1"/>
  <c r="F61" i="6"/>
  <c r="I61" i="6" s="1"/>
  <c r="J61" i="6" s="1"/>
  <c r="F60" i="6"/>
  <c r="I60" i="6" s="1"/>
  <c r="J60" i="6" s="1"/>
  <c r="F59" i="6"/>
  <c r="I59" i="6" s="1"/>
  <c r="J59" i="6" s="1"/>
  <c r="F58" i="6"/>
  <c r="I58" i="6" s="1"/>
  <c r="J58" i="6" s="1"/>
  <c r="F57" i="6"/>
  <c r="I57" i="6" s="1"/>
  <c r="J57" i="6" s="1"/>
  <c r="F56" i="6"/>
  <c r="I56" i="6" s="1"/>
  <c r="J56" i="6" s="1"/>
  <c r="F55" i="6"/>
  <c r="I55" i="6" s="1"/>
  <c r="J55" i="6" s="1"/>
  <c r="F54" i="6"/>
  <c r="I54" i="6" s="1"/>
  <c r="J54" i="6" s="1"/>
  <c r="F53" i="6"/>
  <c r="I53" i="6" s="1"/>
  <c r="J53" i="6" s="1"/>
  <c r="F52" i="6"/>
  <c r="I52" i="6" s="1"/>
  <c r="J52" i="6" s="1"/>
  <c r="F51" i="6"/>
  <c r="I51" i="6" s="1"/>
  <c r="J51" i="6" s="1"/>
  <c r="F50" i="6"/>
  <c r="I50" i="6" s="1"/>
  <c r="J50" i="6" s="1"/>
  <c r="F49" i="6"/>
  <c r="I49" i="6" s="1"/>
  <c r="J49" i="6" s="1"/>
  <c r="F48" i="6"/>
  <c r="I48" i="6" s="1"/>
  <c r="J48" i="6" s="1"/>
  <c r="F47" i="6"/>
  <c r="I47" i="6" s="1"/>
  <c r="J47" i="6" s="1"/>
  <c r="F46" i="6"/>
  <c r="I46" i="6" s="1"/>
  <c r="J46" i="6" s="1"/>
  <c r="F45" i="6"/>
  <c r="I45" i="6" s="1"/>
  <c r="J45" i="6" s="1"/>
  <c r="F44" i="6"/>
  <c r="I44" i="6" s="1"/>
  <c r="J44" i="6" s="1"/>
  <c r="F43" i="6"/>
  <c r="I43" i="6" s="1"/>
  <c r="J43" i="6" s="1"/>
  <c r="F42" i="6"/>
  <c r="I42" i="6" s="1"/>
  <c r="J42" i="6" s="1"/>
  <c r="F41" i="6"/>
  <c r="I41" i="6" s="1"/>
  <c r="J41" i="6" s="1"/>
  <c r="F40" i="6"/>
  <c r="I40" i="6" s="1"/>
  <c r="J40" i="6" s="1"/>
  <c r="F39" i="6"/>
  <c r="I39" i="6" s="1"/>
  <c r="J39" i="6" s="1"/>
  <c r="F38" i="6"/>
  <c r="I38" i="6" s="1"/>
  <c r="J38" i="6" s="1"/>
  <c r="F37" i="6"/>
  <c r="I37" i="6" s="1"/>
  <c r="J37" i="6" s="1"/>
  <c r="F36" i="6"/>
  <c r="I36" i="6" s="1"/>
  <c r="J36" i="6" s="1"/>
  <c r="F35" i="6"/>
  <c r="I35" i="6" s="1"/>
  <c r="J35" i="6" s="1"/>
  <c r="F33" i="6"/>
  <c r="I33" i="6" s="1"/>
  <c r="J33" i="6" s="1"/>
  <c r="F32" i="6"/>
  <c r="I32" i="6" s="1"/>
  <c r="J32" i="6" s="1"/>
  <c r="F31" i="6"/>
  <c r="I31" i="6" s="1"/>
  <c r="J31" i="6" s="1"/>
  <c r="F30" i="6"/>
  <c r="I30" i="6" s="1"/>
  <c r="J30" i="6" s="1"/>
  <c r="F29" i="6"/>
  <c r="I29" i="6" s="1"/>
  <c r="J29" i="6" s="1"/>
  <c r="F28" i="6"/>
  <c r="I28" i="6" s="1"/>
  <c r="J28" i="6" s="1"/>
  <c r="F27" i="6"/>
  <c r="I27" i="6" s="1"/>
  <c r="J27" i="6" s="1"/>
  <c r="F26" i="6"/>
  <c r="I26" i="6" s="1"/>
  <c r="J26" i="6" s="1"/>
  <c r="F25" i="6"/>
  <c r="I25" i="6" s="1"/>
  <c r="J25" i="6" s="1"/>
  <c r="F24" i="6"/>
  <c r="I24" i="6" s="1"/>
  <c r="J24" i="6" s="1"/>
  <c r="F23" i="6"/>
  <c r="I23" i="6" s="1"/>
  <c r="J23" i="6" s="1"/>
  <c r="F22" i="6"/>
  <c r="I22" i="6" s="1"/>
  <c r="J22" i="6" s="1"/>
  <c r="F21" i="6"/>
  <c r="I21" i="6" s="1"/>
  <c r="J21" i="6" s="1"/>
  <c r="F20" i="6"/>
  <c r="I20" i="6" s="1"/>
  <c r="J20" i="6" s="1"/>
  <c r="F19" i="6"/>
  <c r="I19" i="6" s="1"/>
  <c r="J19" i="6" s="1"/>
  <c r="F18" i="6"/>
  <c r="I18" i="6" s="1"/>
  <c r="J18" i="6" s="1"/>
  <c r="F17" i="6"/>
  <c r="I17" i="6" s="1"/>
  <c r="J17" i="6" s="1"/>
  <c r="F16" i="6"/>
  <c r="I16" i="6" s="1"/>
  <c r="J16" i="6" s="1"/>
  <c r="F15" i="6"/>
  <c r="I15" i="6" s="1"/>
  <c r="J15" i="6" s="1"/>
  <c r="F14" i="6"/>
  <c r="I14" i="6" s="1"/>
  <c r="J14" i="6" s="1"/>
  <c r="F13" i="6"/>
  <c r="I13" i="6" s="1"/>
  <c r="J13" i="6" s="1"/>
  <c r="F12" i="6"/>
  <c r="I12" i="6" s="1"/>
  <c r="J12" i="6" s="1"/>
  <c r="F11" i="6"/>
  <c r="I11" i="6" s="1"/>
  <c r="J11" i="6" s="1"/>
  <c r="F10" i="6"/>
  <c r="I10" i="6" s="1"/>
  <c r="J10" i="6" s="1"/>
  <c r="F9" i="6"/>
  <c r="I9" i="6" s="1"/>
  <c r="J9" i="6" s="1"/>
  <c r="F8" i="6"/>
  <c r="I8" i="6" s="1"/>
  <c r="J8" i="6" s="1"/>
  <c r="F7" i="6"/>
  <c r="I7" i="6" s="1"/>
  <c r="J7" i="6" s="1"/>
  <c r="F6" i="6"/>
  <c r="I6" i="6" s="1"/>
  <c r="J6" i="6" s="1"/>
  <c r="F5" i="6"/>
  <c r="I5" i="6" s="1"/>
  <c r="J5" i="6" s="1"/>
  <c r="F4" i="6"/>
  <c r="I4" i="6" s="1"/>
  <c r="J4" i="6" s="1"/>
  <c r="F3" i="6"/>
  <c r="E6" i="5"/>
  <c r="F6" i="5" s="1"/>
  <c r="E5" i="5"/>
  <c r="F5" i="5" s="1"/>
  <c r="E4" i="5"/>
  <c r="F4" i="5" s="1"/>
  <c r="F7" i="5" s="1"/>
  <c r="J41"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3" i="2"/>
  <c r="F40" i="2"/>
  <c r="I40" i="2" s="1"/>
  <c r="K40" i="2" s="1"/>
  <c r="F39" i="2"/>
  <c r="I39" i="2" s="1"/>
  <c r="K39" i="2" s="1"/>
  <c r="F38" i="2"/>
  <c r="I38" i="2" s="1"/>
  <c r="K38" i="2" s="1"/>
  <c r="F37" i="2"/>
  <c r="I37" i="2" s="1"/>
  <c r="K37" i="2" s="1"/>
  <c r="F36" i="2"/>
  <c r="I36" i="2" s="1"/>
  <c r="K36" i="2" s="1"/>
  <c r="F35" i="2"/>
  <c r="I35" i="2" s="1"/>
  <c r="K35" i="2" s="1"/>
  <c r="F34" i="2"/>
  <c r="I34" i="2" s="1"/>
  <c r="K34" i="2" s="1"/>
  <c r="F33" i="2"/>
  <c r="I33" i="2" s="1"/>
  <c r="K33" i="2" s="1"/>
  <c r="F32" i="2"/>
  <c r="I32" i="2" s="1"/>
  <c r="K32" i="2" s="1"/>
  <c r="F31" i="2"/>
  <c r="I31" i="2" s="1"/>
  <c r="K31" i="2" s="1"/>
  <c r="F30" i="2"/>
  <c r="I30" i="2" s="1"/>
  <c r="K30" i="2" s="1"/>
  <c r="F29" i="2"/>
  <c r="I29" i="2" s="1"/>
  <c r="K29" i="2" s="1"/>
  <c r="F27" i="2"/>
  <c r="I27" i="2" s="1"/>
  <c r="K27" i="2" s="1"/>
  <c r="F26" i="2"/>
  <c r="I26" i="2" s="1"/>
  <c r="K26" i="2" s="1"/>
  <c r="F25" i="2"/>
  <c r="I25" i="2" s="1"/>
  <c r="K25" i="2" s="1"/>
  <c r="F24" i="2"/>
  <c r="I24" i="2" s="1"/>
  <c r="K24" i="2" s="1"/>
  <c r="F23" i="2"/>
  <c r="I23" i="2" s="1"/>
  <c r="K23" i="2" s="1"/>
  <c r="F22" i="2"/>
  <c r="I22" i="2" s="1"/>
  <c r="K22" i="2" s="1"/>
  <c r="F21" i="2"/>
  <c r="I21" i="2" s="1"/>
  <c r="K21" i="2" s="1"/>
  <c r="F20" i="2"/>
  <c r="I20" i="2" s="1"/>
  <c r="K20" i="2" s="1"/>
  <c r="F19" i="2"/>
  <c r="I19" i="2" s="1"/>
  <c r="K19" i="2" s="1"/>
  <c r="F18" i="2"/>
  <c r="I18" i="2" s="1"/>
  <c r="K18" i="2" s="1"/>
  <c r="F17" i="2"/>
  <c r="I17" i="2" s="1"/>
  <c r="K17" i="2" s="1"/>
  <c r="F16" i="2"/>
  <c r="I16" i="2" s="1"/>
  <c r="K16" i="2" s="1"/>
  <c r="F15" i="2"/>
  <c r="I15" i="2" s="1"/>
  <c r="K15" i="2" s="1"/>
  <c r="F14" i="2"/>
  <c r="I14" i="2" s="1"/>
  <c r="K14" i="2" s="1"/>
  <c r="F13" i="2"/>
  <c r="I13" i="2" s="1"/>
  <c r="K13" i="2" s="1"/>
  <c r="F12" i="2"/>
  <c r="I12" i="2" s="1"/>
  <c r="K12" i="2" s="1"/>
  <c r="F11" i="2"/>
  <c r="I11" i="2" s="1"/>
  <c r="K11" i="2" s="1"/>
  <c r="F10" i="2"/>
  <c r="I10" i="2" s="1"/>
  <c r="K10" i="2" s="1"/>
  <c r="F9" i="2"/>
  <c r="I9" i="2" s="1"/>
  <c r="K9" i="2" s="1"/>
  <c r="F8" i="2"/>
  <c r="I8" i="2" s="1"/>
  <c r="K8" i="2" s="1"/>
  <c r="F7" i="2"/>
  <c r="I7" i="2" s="1"/>
  <c r="K7" i="2" s="1"/>
  <c r="F6" i="2"/>
  <c r="I6" i="2" s="1"/>
  <c r="K6" i="2" s="1"/>
  <c r="F5" i="2"/>
  <c r="I5" i="2" s="1"/>
  <c r="K5" i="2" s="1"/>
  <c r="F4" i="2"/>
  <c r="I4" i="2" s="1"/>
  <c r="K4" i="2" s="1"/>
  <c r="F3" i="2"/>
  <c r="W20" i="10" l="1"/>
  <c r="F20" i="10"/>
  <c r="W19" i="10"/>
  <c r="F19" i="10"/>
  <c r="W18" i="10"/>
  <c r="F18" i="10"/>
  <c r="W17" i="10"/>
  <c r="F17" i="10"/>
  <c r="W16" i="10"/>
  <c r="F16" i="10"/>
  <c r="W15" i="10"/>
  <c r="F15" i="10"/>
  <c r="F14" i="10"/>
  <c r="W14" i="10"/>
  <c r="P13" i="10"/>
  <c r="Q13" i="10"/>
  <c r="R13" i="10"/>
  <c r="S13" i="10"/>
  <c r="T13" i="10"/>
  <c r="V13" i="10"/>
  <c r="J22" i="10"/>
  <c r="S12" i="10"/>
  <c r="E21" i="10"/>
  <c r="W12" i="10"/>
  <c r="F12" i="10"/>
  <c r="W9" i="10"/>
  <c r="F9" i="10"/>
  <c r="W8" i="10"/>
  <c r="F8" i="10"/>
  <c r="W7" i="10"/>
  <c r="F7" i="10"/>
  <c r="E10" i="10"/>
  <c r="W6" i="10"/>
  <c r="F6" i="10"/>
  <c r="N19" i="8"/>
  <c r="M19" i="8"/>
  <c r="N18" i="8"/>
  <c r="M18" i="8"/>
  <c r="E22" i="8"/>
  <c r="N17" i="8"/>
  <c r="M17" i="8"/>
  <c r="N16" i="8"/>
  <c r="M16" i="8"/>
  <c r="N15" i="8"/>
  <c r="N20" i="8" s="1"/>
  <c r="M15" i="8"/>
  <c r="M20" i="8" s="1"/>
  <c r="L11" i="8"/>
  <c r="K11" i="8"/>
  <c r="J11" i="8"/>
  <c r="J10" i="8"/>
  <c r="L10" i="8"/>
  <c r="K10" i="8"/>
  <c r="L9" i="8"/>
  <c r="K9" i="8"/>
  <c r="J9" i="8"/>
  <c r="J8" i="8"/>
  <c r="E21" i="8"/>
  <c r="L8" i="8"/>
  <c r="K8" i="8"/>
  <c r="L7" i="8"/>
  <c r="K7" i="8"/>
  <c r="J7" i="8"/>
  <c r="L6" i="8"/>
  <c r="L20" i="8" s="1"/>
  <c r="K6" i="8"/>
  <c r="K20" i="8" s="1"/>
  <c r="E20" i="8"/>
  <c r="N6" i="8"/>
  <c r="J6" i="8"/>
  <c r="J20" i="8" s="1"/>
  <c r="F80" i="6"/>
  <c r="I3" i="6"/>
  <c r="F8" i="5"/>
  <c r="F9" i="5" s="1"/>
  <c r="F41" i="2"/>
  <c r="I3" i="2"/>
  <c r="I41" i="2" s="1"/>
  <c r="P20" i="10" l="1"/>
  <c r="Q20" i="10"/>
  <c r="R20" i="10"/>
  <c r="S20" i="10"/>
  <c r="T20" i="10"/>
  <c r="V20" i="10"/>
  <c r="P19" i="10"/>
  <c r="Q19" i="10"/>
  <c r="R19" i="10"/>
  <c r="S19" i="10"/>
  <c r="T19" i="10"/>
  <c r="V19" i="10"/>
  <c r="P18" i="10"/>
  <c r="Q18" i="10"/>
  <c r="R18" i="10"/>
  <c r="S18" i="10"/>
  <c r="T18" i="10"/>
  <c r="V18" i="10"/>
  <c r="P17" i="10"/>
  <c r="Q17" i="10"/>
  <c r="R17" i="10"/>
  <c r="S17" i="10"/>
  <c r="T17" i="10"/>
  <c r="V17" i="10"/>
  <c r="P16" i="10"/>
  <c r="Q16" i="10"/>
  <c r="R16" i="10"/>
  <c r="S16" i="10"/>
  <c r="T16" i="10"/>
  <c r="V16" i="10"/>
  <c r="P15" i="10"/>
  <c r="S15" i="10"/>
  <c r="T15" i="10"/>
  <c r="Q15" i="10"/>
  <c r="R15" i="10"/>
  <c r="U15" i="10" s="1"/>
  <c r="V15" i="10"/>
  <c r="P14" i="10"/>
  <c r="R14" i="10"/>
  <c r="T14" i="10"/>
  <c r="V14" i="10"/>
  <c r="Q14" i="10"/>
  <c r="S14" i="10"/>
  <c r="P12" i="10"/>
  <c r="Q12" i="10"/>
  <c r="R12" i="10"/>
  <c r="U12" i="10" s="1"/>
  <c r="T12" i="10"/>
  <c r="V12" i="10"/>
  <c r="F21" i="10"/>
  <c r="P9" i="10"/>
  <c r="Q9" i="10"/>
  <c r="R9" i="10"/>
  <c r="S9" i="10"/>
  <c r="T9" i="10"/>
  <c r="V9" i="10"/>
  <c r="P8" i="10"/>
  <c r="Q8" i="10"/>
  <c r="R8" i="10"/>
  <c r="S8" i="10"/>
  <c r="T8" i="10"/>
  <c r="V8" i="10"/>
  <c r="P7" i="10"/>
  <c r="Q7" i="10"/>
  <c r="R7" i="10"/>
  <c r="S7" i="10"/>
  <c r="T7" i="10"/>
  <c r="V7" i="10"/>
  <c r="P6" i="10"/>
  <c r="P22" i="10" s="1"/>
  <c r="Q6" i="10"/>
  <c r="Q22" i="10" s="1"/>
  <c r="R6" i="10"/>
  <c r="S6" i="10"/>
  <c r="S22" i="10" s="1"/>
  <c r="T6" i="10"/>
  <c r="T22" i="10" s="1"/>
  <c r="V6" i="10"/>
  <c r="V22" i="10" s="1"/>
  <c r="F10" i="10"/>
  <c r="F22" i="10" s="1"/>
  <c r="U13" i="10"/>
  <c r="E22" i="10"/>
  <c r="W22" i="10"/>
  <c r="J3" i="6"/>
  <c r="J80" i="6" s="1"/>
  <c r="I80" i="6"/>
  <c r="K3" i="2"/>
  <c r="K41" i="2" s="1"/>
  <c r="U6" i="10" l="1"/>
  <c r="R22" i="10"/>
  <c r="U20" i="10"/>
  <c r="U19" i="10"/>
  <c r="U18" i="10"/>
  <c r="U17" i="10"/>
  <c r="U16" i="10"/>
  <c r="U14" i="10"/>
  <c r="U9" i="10"/>
  <c r="U8" i="10"/>
  <c r="U7" i="10"/>
  <c r="F7" i="3"/>
  <c r="F8" i="3" s="1"/>
  <c r="F9" i="3" s="1"/>
  <c r="U22" i="10" l="1"/>
</calcChain>
</file>

<file path=xl/sharedStrings.xml><?xml version="1.0" encoding="utf-8"?>
<sst xmlns="http://schemas.openxmlformats.org/spreadsheetml/2006/main" count="665" uniqueCount="163">
  <si>
    <t>MCW Pavement defects rutting</t>
  </si>
  <si>
    <t>S.No</t>
  </si>
  <si>
    <t>From</t>
  </si>
  <si>
    <t>To</t>
  </si>
  <si>
    <t>Side</t>
  </si>
  <si>
    <t>Location</t>
  </si>
  <si>
    <t>L</t>
  </si>
  <si>
    <t>W</t>
  </si>
  <si>
    <t>D</t>
  </si>
  <si>
    <t>Remarks</t>
  </si>
  <si>
    <t>LHS</t>
  </si>
  <si>
    <t>F/L</t>
  </si>
  <si>
    <t xml:space="preserve">Rutting </t>
  </si>
  <si>
    <t>F/L-S/L</t>
  </si>
  <si>
    <t>S/L</t>
  </si>
  <si>
    <t>RHS</t>
  </si>
  <si>
    <t>Total</t>
  </si>
  <si>
    <t>Main carriageway (Rutting Repair work)</t>
  </si>
  <si>
    <t>S No</t>
  </si>
  <si>
    <t>Material Description</t>
  </si>
  <si>
    <t>UoM</t>
  </si>
  <si>
    <t>Rate</t>
  </si>
  <si>
    <t>Quantity</t>
  </si>
  <si>
    <t>Amount</t>
  </si>
  <si>
    <t>Remark</t>
  </si>
  <si>
    <t>Sqm</t>
  </si>
  <si>
    <t>sqm</t>
  </si>
  <si>
    <t>Cum</t>
  </si>
  <si>
    <t>Amount without GST Rs.</t>
  </si>
  <si>
    <t>GST@18% Rs.</t>
  </si>
  <si>
    <t>Total Amount Including 18% GST Rs.</t>
  </si>
  <si>
    <t>BOQ forAburoad to swaroopganj Project  Section (from Km 646+000 to Km 677+000) of NH -27</t>
  </si>
  <si>
    <t>Milling QTY(SQM)</t>
  </si>
  <si>
    <t>Tack Coat  QTY(SQM)</t>
  </si>
  <si>
    <t>BC QTY(CUM)</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</si>
  <si>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</si>
  <si>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</si>
  <si>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sz val="10"/>
        <color theme="1"/>
        <rFont val="Arial"/>
        <family val="2"/>
      </rPr>
      <t>Milling of Bituminous Surface up to 40mm Depth</t>
    </r>
    <r>
      <rPr>
        <sz val="10"/>
        <color theme="1"/>
        <rFont val="Arial"/>
        <family val="2"/>
      </rPr>
      <t xml:space="preserve">
This item covers the milling of bituminous surfaces up to a depth of 40 mm, as per MoRTH Clause 111 and Clause 3004. The work shall be executed using a cold milling machine such as Wirtgen W100H or equivalent, having a minimum milling width of 1 meter and a capacity of at least 100 HP, capable of achieving the desired depth in a single pass. The milled surface shall be uniform, free from loose material, and prepared for subsequent works. Milled material shall be collected and loaded into suitable transport vehicles immediately to prevent site obstruction.
The quoted rate shall include all costs necessary to complete the work but not limited to the cost of equipment mobilization, milling, collection, loading, fuel, tools, labor, and traffic safety arrangements.
Approval of the Engineer-in-Charge for the machine and methodology is mandatory. Measurement: per sqm of milled area, inclusive of all operations, which shall adhere to relevant safety and environmental regulations.</t>
    </r>
  </si>
  <si>
    <r>
      <rPr>
        <b/>
        <sz val="10"/>
        <color theme="1"/>
        <rFont val="Arial"/>
        <family val="2"/>
      </rPr>
      <t>Tack Coat on Bituminous Surfaces</t>
    </r>
    <r>
      <rPr>
        <sz val="10"/>
        <color theme="1"/>
        <rFont val="Arial"/>
        <family val="2"/>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</si>
  <si>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r>
      <rPr>
        <b/>
        <sz val="11"/>
        <color theme="1"/>
        <rFont val="Arial"/>
        <family val="2"/>
      </rPr>
      <t>Bituminous Concrete – Grading -II (VG-40, 5.4%)</t>
    </r>
    <r>
      <rPr>
        <sz val="11"/>
        <color theme="1"/>
        <rFont val="Arial"/>
        <family val="2"/>
      </rPr>
      <t xml:space="preserve">
</t>
    </r>
    <r>
      <rPr>
        <b/>
        <sz val="11"/>
        <color theme="1"/>
        <rFont val="Arial"/>
        <family val="2"/>
      </rPr>
      <t>Scope of Work:</t>
    </r>
    <r>
      <rPr>
        <sz val="11"/>
        <color theme="1"/>
        <rFont val="Arial"/>
        <family val="2"/>
      </rPr>
      <t xml:space="preserve"> Providing and laying </t>
    </r>
    <r>
      <rPr>
        <b/>
        <sz val="11"/>
        <color theme="1"/>
        <rFont val="Arial"/>
        <family val="2"/>
      </rPr>
      <t xml:space="preserve">Bituminous Concrete (BC) with Grading II </t>
    </r>
    <r>
      <rPr>
        <sz val="11"/>
        <color theme="1"/>
        <rFont val="Arial"/>
        <family val="2"/>
      </rPr>
      <t xml:space="preserve">aggregate using higher capacity batch type hot mix plant, premixed with VG-40 bitumen @ 5.4% by weight of total mix and filler, including transportation, laying by hydrostatic sensor paver, and compaction with rollers as per MoRTH Clause 507.
Execution Requirements: 
1) Prepare mix with VG-40 binder @ 5.2%, Grading 2 aggregates, and filler in HMP.
2) Maintain mix temp 160–170°C, laying temp ≥150°C, rolling temp ≥100°C.
3) Lay mix using sensor paver to desired camber, grade, and level.
4) Compact with smooth, vibratory, and tandem rollers to achieve ≥92% lab density.
</t>
    </r>
    <r>
      <rPr>
        <b/>
        <sz val="11"/>
        <color theme="1"/>
        <rFont val="Arial"/>
        <family val="2"/>
      </rPr>
      <t>Rate Inclusions</t>
    </r>
    <r>
      <rPr>
        <sz val="11"/>
        <color theme="1"/>
        <rFont val="Arial"/>
        <family val="2"/>
      </rPr>
      <t>: Covers the complete scope including cost of materials (VG-40, aggregates, filler), HMP operation, transportation, laying, compaction, site preparation, testing, safety, and environmental management.
Relevant Specification: MoRTH Clause 507</t>
    </r>
  </si>
  <si>
    <t>QTY(SQM)</t>
  </si>
  <si>
    <t>QTY(CUM)</t>
  </si>
  <si>
    <t>Toll Plaza-1</t>
  </si>
  <si>
    <t>Toll Plaza-2</t>
  </si>
  <si>
    <t>Toll Plaza-3</t>
  </si>
  <si>
    <t>MCW-F/L</t>
  </si>
  <si>
    <t>Toll Plaza-4</t>
  </si>
  <si>
    <t>Toll Plaza-5</t>
  </si>
  <si>
    <r>
      <rPr>
        <b/>
        <sz val="11"/>
        <color theme="1"/>
        <rFont val="Arial"/>
        <family val="2"/>
      </rPr>
      <t>Milling of Bituminous Surface up to 40mm Depth</t>
    </r>
    <r>
      <rPr>
        <sz val="11"/>
        <color theme="1"/>
        <rFont val="Arial"/>
        <family val="2"/>
      </rPr>
      <t xml:space="preserve">
This item covers the milling of bituminous surfaces up to a depth of 40 mm, as per MoRTH Clause 111 and Clause 3004. The work shall be executed using a cold milling machine such as Wirtgen W100H or equivalent, having a minimum milling width of 1 meter and a capacity of at least 100 HP, capable of achieving the desired depth in a single pass. The milled surface shall be uniform, free from loose material, and prepared for subsequent works. Milled material shall be collected and loaded into suitable transport vehicles immediately to prevent site obstruction.
The quoted rate shall include all costs necessary to complete the work but not limited to the cost of equipment mobilization, milling, collection, loading, fuel, tools, labor, and traffic safety arrangements.
Approval of the Engineer-in-Charge for the machine and methodology is mandatory. Measurement: per sqm of milled area, inclusive of all operations, which shall adhere to relevant safety and environmental regulations.</t>
    </r>
  </si>
  <si>
    <r>
      <rPr>
        <b/>
        <sz val="11"/>
        <color theme="1"/>
        <rFont val="Arial"/>
        <family val="2"/>
      </rPr>
      <t>Tack Coat-</t>
    </r>
    <r>
      <rPr>
        <sz val="11"/>
        <color theme="1"/>
        <rFont val="Arial"/>
        <family val="2"/>
      </rPr>
      <t>The work involves the application of a tack coat to prepare the surface for the next layer of bituminous material. The existing road surface shall be thoroughly cleaned to remove dust, debris, and loose material before the tack coat is applied. Bitumen (IS 73: 2013) shall be heated and sprayed evenly at a rate of 0.25 to 0.3 kg per sqm using a mechanical sprayer, in accordance with MoRTH Section 503. The contractor shall ensure that the tack coat is applied evenly and allowed to cure before the next layer is laid. The quoted rate shall include all costs necessary to complete the work, but not limited to the cost of bitumen, application equipment, labor for surface preparation and tack coat application, and any other resources necessary for the proper execution of the work. Quality checks shall be performed to ensure that the tack coat is applied at the specified rate and is uniformly spread. bitumen pressure sprayer equipped for spraying the material uniformly at specified rates and temperatures as per MORTH specification CI.503,112 ( Including cleaning of Road Surface )</t>
    </r>
  </si>
  <si>
    <r>
      <rPr>
        <b/>
        <sz val="11"/>
        <color theme="1"/>
        <rFont val="Arial"/>
        <family val="2"/>
      </rPr>
      <t xml:space="preserve">BC Laying with Paver: </t>
    </r>
    <r>
      <rPr>
        <sz val="11"/>
        <color theme="1"/>
        <rFont val="Arial"/>
        <family val="2"/>
      </rPr>
      <t>Providing and laying bituminous concrete as per design mix on prepared  surface with specified graded stone as per table 500-16 &amp; 500-17 for wearing course including loading of aggregate with Front end loader and hot mixing of binder and filler as per table 500-9 with aggregates in drum mix plant transporting the mix material with tipper and laying with paver finisher to the required level , grades and rolling with vibratory compactor, to achieve the desired density (approved by the department) excluding cost of primer/tack coat (MoRTH Specification : Clause -507 &amp; 112) with all lead. Grading II (13.20 mm nominal size) - VG-40 Bitumen grade @ minimum 5.40% of mix. Thickness 40 mm</t>
    </r>
  </si>
  <si>
    <t>BOQ for Palanpur - to - Aburoad Project  Section (from Km 601+000 to Km 646+000) of NH -27</t>
  </si>
  <si>
    <t>BOQ for Palanpur -to -Aburoad - swaroopganj Project  Section (from Km 601+000 to Km 676+000) of NH -27</t>
  </si>
  <si>
    <t>A</t>
  </si>
  <si>
    <t>Junction &amp; Service Road</t>
  </si>
  <si>
    <r>
      <rPr>
        <b/>
        <sz val="11"/>
        <rFont val="Poppins"/>
      </rPr>
      <t>Excavation in Soil</t>
    </r>
    <r>
      <rPr>
        <sz val="11"/>
        <rFont val="Poppins"/>
      </rPr>
      <t xml:space="preserve"> with Dozer with lead up to 100 metres Excavation for road way in soil by mechanical means including cutting and pushing the earth to site of embankment up to a distance of 100 metres (average lead 50 metres), including trimming bottom and side slopes in accordance with requirements of lines, grades and cross sections (Reference to MoRT&amp;H's specification clause 301).</t>
    </r>
  </si>
  <si>
    <r>
      <rPr>
        <b/>
        <sz val="11"/>
        <rFont val="Poppins"/>
      </rPr>
      <t>Construction of Embankment with Material obtained from Borrow pits</t>
    </r>
    <r>
      <rPr>
        <sz val="11"/>
        <rFont val="Poppins"/>
      </rPr>
      <t xml:space="preserve"> Construction of embankment with approved material obtained from borrow pits with all lifts and leads, transporting to site, spreading, grading to required slope and compacting to meet requirement of table 300-2 &amp; 300-1 .The size course material in the mix of earth ordinarily shall not be exceed 75mm.(Reference
to MoRT&amp;H's specification clause 305).</t>
    </r>
  </si>
  <si>
    <r>
      <rPr>
        <b/>
        <sz val="11"/>
        <rFont val="Poppins"/>
      </rPr>
      <t>Construction of Subgrade and Earthen Shoulders</t>
    </r>
    <r>
      <rPr>
        <sz val="11"/>
        <rFont val="Poppins"/>
      </rPr>
      <t xml:space="preserve">
Construction of subgrade and earthen shoulders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and the earthen shoulders shall be compacted to 95% MDD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</si>
  <si>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sz val="11"/>
        <rFont val="Poppins"/>
      </rPr>
      <t>Construction of Granular Sub-Base (Grade IV Material)</t>
    </r>
    <r>
      <rPr>
        <sz val="11"/>
        <rFont val="Poppins"/>
      </rPr>
      <t xml:space="preserve">
Construction of granular sub-base by providing approved Grade IV material conforming to MoRTH Clause 401 and Table 400-1, with material sourced as per project specifications, including all royalty charges and transportation. The material shall be laid in uniform layers not exceeding 200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and drainage features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</si>
  <si>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11"/>
        <rFont val="Poppins"/>
      </rPr>
      <t>Construction of Wet Mix Macadam (WMM):</t>
    </r>
    <r>
      <rPr>
        <sz val="11"/>
        <rFont val="Poppins"/>
      </rPr>
      <t xml:space="preserve">
Construction of Wet Mix Macadam (WMM) by providing approved crushed stone aggregate material conforming to MoRTH Clause 406 , with material sourced as per project specifications, including all royalty charges and transportation. The material shall be laid in uniform layers not exceeding 250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</si>
  <si>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11"/>
        <color theme="1"/>
        <rFont val="Poppins"/>
      </rPr>
      <t>Prime Coat</t>
    </r>
    <r>
      <rPr>
        <sz val="11"/>
        <color theme="1"/>
        <rFont val="Poppins"/>
      </rPr>
      <t xml:space="preserve">
Providing and applying primer coat with bitumen emulsion on prepared surface of granular Base including clearing of road surface and spraying primer at the rate of 0.60 kg/sqm using mechanical means.</t>
    </r>
  </si>
  <si>
    <r>
      <rPr>
        <b/>
        <sz val="11"/>
        <color theme="1"/>
        <rFont val="Poppins"/>
      </rPr>
      <t>Tack Coat on Bituminous Surfaces</t>
    </r>
    <r>
      <rPr>
        <sz val="11"/>
        <color theme="1"/>
        <rFont val="Poppins"/>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</si>
  <si>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r>
      <rPr>
        <b/>
        <sz val="11"/>
        <color theme="1"/>
        <rFont val="Poppins"/>
      </rPr>
      <t xml:space="preserve">Dense Bituminous Macadam: </t>
    </r>
    <r>
      <rPr>
        <sz val="11"/>
        <color theme="1"/>
        <rFont val="Poppins"/>
      </rPr>
      <t xml:space="preserve">
Providing and laying Dense graded bituminous macadam using crushed aggregates of specified grading, premixed with bituminous binder @ 4.5 per cent  by weight of total mix and filler, transporting the hot mix to work site, laying with a hydrostatic paver finisher with sensor control to the required grade, level and alignment, rolling with smooth wheeled, vibratory and tandem rollers to achieve the desired compaction as per MoRTH specification clause No. 507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4.5 per cent  of weight of mix. Bitumen Grade Shall be VG-40</t>
    </r>
  </si>
  <si>
    <r>
      <rPr>
        <b/>
        <sz val="11"/>
        <color theme="1"/>
        <rFont val="Poppins"/>
      </rPr>
      <t>Bituminous Concrete – Grading -II (VG-40, 5.4%)</t>
    </r>
    <r>
      <rPr>
        <sz val="11"/>
        <color theme="1"/>
        <rFont val="Poppins"/>
      </rPr>
      <t xml:space="preserve">
</t>
    </r>
    <r>
      <rPr>
        <b/>
        <sz val="11"/>
        <color theme="1"/>
        <rFont val="Poppins"/>
      </rPr>
      <t>Scope of Work:</t>
    </r>
    <r>
      <rPr>
        <sz val="11"/>
        <color theme="1"/>
        <rFont val="Poppins"/>
      </rPr>
      <t xml:space="preserve"> Providing and laying </t>
    </r>
    <r>
      <rPr>
        <b/>
        <sz val="11"/>
        <color theme="1"/>
        <rFont val="Poppins"/>
      </rPr>
      <t xml:space="preserve">Bituminous Concrete (BC) with Grading II </t>
    </r>
    <r>
      <rPr>
        <sz val="11"/>
        <color theme="1"/>
        <rFont val="Poppins"/>
      </rPr>
      <t xml:space="preserve">aggregate using higher capacity batch type hot mix plant, premixed with VG-40 bitumen @ 5.4% by weight of total mix and filler, including transportation, laying by hydrostatic sensor paver, and compaction with rollers as per MoRTH Clause 507.
Execution Requirements: 
1) Prepare mix with VG-40 binder @ 5.2%, Grading 2 aggregates, and filler in HMP.
2) Maintain mix temp 160–170°C, laying temp ≥150°C, rolling temp ≥100°C.
3) Lay mix using sensor paver to desired camber, grade, and level.
4) Compact with smooth, vibratory, and tandem rollers to achieve ≥92% lab density.
</t>
    </r>
    <r>
      <rPr>
        <b/>
        <sz val="11"/>
        <color theme="1"/>
        <rFont val="Poppins"/>
      </rPr>
      <t>Rate Inclusions</t>
    </r>
    <r>
      <rPr>
        <sz val="11"/>
        <color theme="1"/>
        <rFont val="Poppins"/>
      </rPr>
      <t>: Covers the complete scope including cost of materials (VG-40, aggregates, filler), HMP operation, transportation, laying, compaction, site preparation, testing, safety, and environmental management.
Relevant Specification: MoRTH Clause 507</t>
    </r>
  </si>
  <si>
    <t>B</t>
  </si>
  <si>
    <t>RCC Drain</t>
  </si>
  <si>
    <r>
      <rPr>
        <b/>
        <sz val="11"/>
        <rFont val="Poppins"/>
      </rPr>
      <t>Excavation– Lead up to 100 m -3m</t>
    </r>
    <r>
      <rPr>
        <sz val="11"/>
        <rFont val="Poppins"/>
      </rPr>
      <t xml:space="preserve">
</t>
    </r>
    <r>
      <rPr>
        <sz val="11"/>
        <color theme="1"/>
        <rFont val="Poppins"/>
      </rPr>
      <t>The work consists of excavating soil for roadway construction using a dozer upto 3m, including cutting, loosening, and pushing the excavated material to the embankment location up to an average lead of 50 m (maximum 100 m), and finishing the excavation to the required lines, grades, levels, and side slopes as shown in the drawings. The operation shall include trimming of the bottom and side slopes, handling of excavated soil, and maintaining proper formation width as per design. The rate shall include the cost of all machinery (dozer and auxiliary equipment), operational fuel, labour for supervision and trimming, incidental works, setting out, traffic and safety arrangements, and compliance with MoRTH Specification Clause 301 for excavation in soil by mechanical means.</t>
    </r>
  </si>
  <si>
    <r>
      <rPr>
        <b/>
        <sz val="11"/>
        <color theme="1"/>
        <rFont val="Poppins"/>
      </rPr>
      <t xml:space="preserve">Backfilling Behind Drain </t>
    </r>
    <r>
      <rPr>
        <sz val="11"/>
        <color theme="1"/>
        <rFont val="Poppins"/>
      </rPr>
      <t xml:space="preserve">
Backfilling behind Drain walls using approved sandy material, including placing in layers of specified thickness, moisture conditioning, spreading, and compaction to the required density and profile as per approved drawings and Technical Specifications; work includes all leads and lifts, controlled placement to avoid displacement of structures, proper benching, finishing to required slope and level, and taking all necessary safety measures such as barricading, PPE and supervision to ensure proper completion of the work as per MoRTH Specifications.</t>
    </r>
  </si>
  <si>
    <r>
      <rPr>
        <b/>
        <sz val="11"/>
        <color theme="1"/>
        <rFont val="Poppins"/>
      </rPr>
      <t>Plain cement concrete in under foundation M-15</t>
    </r>
    <r>
      <rPr>
        <sz val="11"/>
        <color theme="1"/>
        <rFont val="Poppins"/>
      </rPr>
      <t xml:space="preserve">
Providing and laying Plain/Reinforced Cement Concrete of M15 grade in open foundation, including preparation of foundation bed to the required levels, formwork where necessary, placement of concrete as per approved mix design, proper compaction using mechanical vibrators, finishing, and curing as per specifications. The work shall include supplying all materials, labour, tools, equipment, mixing, placing, compacting, curing, and all incidental works required for proper completion, along with full compliance with safety measures such as PPE, barricading, and site protection. All works shall conform to the relevant provisions of MoRTH Section 1500 &amp; 1700 and approved drawings.</t>
    </r>
  </si>
  <si>
    <r>
      <rPr>
        <b/>
        <sz val="11"/>
        <color theme="1"/>
        <rFont val="Poppins"/>
      </rPr>
      <t xml:space="preserve">Reinforced Cement Concrete in Foundation – RCC M-25
</t>
    </r>
    <r>
      <rPr>
        <sz val="11"/>
        <color theme="1"/>
        <rFont val="Poppins"/>
      </rPr>
      <t>Providing and laying Reinforced Cement Concrete of M25 grade in open foundation, including preparation of foundation bed to the required levels, formwork where necessary, placement of concrete as per approved mix design, proper compaction using mechanical vibrators, finishing, and curing as per specifications. The work shall include supplying all materials, labour, tools, equipment, mixing, placing, compacting, curing, and all incidental works required for proper completion, along with full compliance with safety measures such as PPE, barricading, and site protection. All works shall conform to the relevant provisions of MoRTH Section 1500 &amp; 1700 and approved drawings.</t>
    </r>
  </si>
  <si>
    <r>
      <rPr>
        <b/>
        <sz val="11"/>
        <color theme="1"/>
        <rFont val="Poppins"/>
      </rPr>
      <t>Reinforced Cement Concrete in Sub-Structure (RCC M-25)</t>
    </r>
    <r>
      <rPr>
        <sz val="11"/>
        <color theme="1"/>
        <rFont val="Poppins"/>
      </rPr>
      <t xml:space="preserve">
Providing, placing, and compacting Plain/Reinforced Cement Concrete of grade M-25 in sub-structure elements such walls, any structural component below deck level, complete as per approved drawings and Technical Specifications. Work includes surface preparation, formwork, reinforcement placing, concrete mixing, vibration, compaction, finishing, and curing as per MoRTH provisions. The rate includes all materials (cement, aggregates, reinforcement), labour, machinery, shuttering, staging, pumping/conveying of concrete, curing, safety measures, and all incidental works for proper execution as per MoRTH Specifications (Section 1700 &amp; 2200).</t>
    </r>
  </si>
  <si>
    <r>
      <rPr>
        <b/>
        <sz val="11"/>
        <color theme="1"/>
        <rFont val="Poppins"/>
      </rPr>
      <t xml:space="preserve">Supplying, Fitting, and Placing HYSD Bar Reinforcement 
</t>
    </r>
    <r>
      <rPr>
        <b/>
        <u/>
        <sz val="11"/>
        <color theme="1"/>
        <rFont val="Poppins"/>
      </rPr>
      <t>Scope of Work :</t>
    </r>
    <r>
      <rPr>
        <sz val="11"/>
        <color theme="1"/>
        <rFont val="Poppins"/>
      </rPr>
      <t xml:space="preserve"> This work includes supplying, cutting, bending, binding, and placing uncoated HYSD bars in foundations as per the approved bar bending schedule. It also includes providing and fixing binding wire, supports, and chairs necessary to maintain spacing and cover.
</t>
    </r>
    <r>
      <rPr>
        <b/>
        <u/>
        <sz val="11"/>
        <color theme="1"/>
        <rFont val="Poppins"/>
      </rPr>
      <t xml:space="preserve">Execution Requirements: 
</t>
    </r>
    <r>
      <rPr>
        <sz val="11"/>
        <color theme="1"/>
        <rFont val="Poppins"/>
      </rPr>
      <t xml:space="preserve">1) Steel shall conform to IS:1786.
2) Bars shall be cleaned of rust, oil, mud, or other contaminants before use.
3) Reinforcement shall be cut, bent, and fixed as per approved drawings, ensuring specified cover, laps, and alignment.
4) Binding with annealed wire and supports/chairs shall be provided to maintain correct position during concreting.
</t>
    </r>
    <r>
      <rPr>
        <b/>
        <u/>
        <sz val="11"/>
        <color theme="1"/>
        <rFont val="Poppins"/>
      </rPr>
      <t>Rate Inclusion:</t>
    </r>
    <r>
      <rPr>
        <u/>
        <sz val="11"/>
        <color theme="1"/>
        <rFont val="Poppins"/>
      </rPr>
      <t xml:space="preserve"> </t>
    </r>
    <r>
      <rPr>
        <sz val="11"/>
        <color theme="1"/>
        <rFont val="Poppins"/>
      </rPr>
      <t xml:space="preserve">The quoted rate shall include the cost of HYSD steel, cutting, bending, placing, labour charges, binding wire, supports, chairs, tools, and incidental works. It shall also cover safety provisions and cutting/bending operations, as well as compliance with the Engineer-in-Charge’s directions.
</t>
    </r>
    <r>
      <rPr>
        <b/>
        <sz val="11"/>
        <color theme="1"/>
        <rFont val="Poppins"/>
      </rPr>
      <t>Relavant Specification :-MoRTH SpecificationsClause 1600; IS:1786; IS:2502.</t>
    </r>
  </si>
  <si>
    <t>Mt</t>
  </si>
  <si>
    <r>
      <rPr>
        <b/>
        <sz val="11"/>
        <color theme="1"/>
        <rFont val="Poppins"/>
      </rPr>
      <t xml:space="preserve">Weep hole </t>
    </r>
    <r>
      <rPr>
        <sz val="11"/>
        <color theme="1"/>
        <rFont val="Poppins"/>
      </rPr>
      <t xml:space="preserve">
Providing weep holes in brick masonry, plain concrete, or reinforced concrete abutments, wing walls, and return walls using 100 mm diameter AC pipes placed with a uniform outward slope of 1V:20H, extending through the full width of the structure, including cutting, fixing, sealing, and ensuring proper alignment and drainage flow, complete as per approved drawings, MoRTH technical specifications, and directions of the Engineer-in-Charge.</t>
    </r>
  </si>
  <si>
    <t>Nos</t>
  </si>
  <si>
    <t>C</t>
  </si>
  <si>
    <t>Rain water Harvesting (RWH)</t>
  </si>
  <si>
    <r>
      <t>Rain water Harvesting (RWH)-</t>
    </r>
    <r>
      <rPr>
        <sz val="11"/>
        <color theme="1"/>
        <rFont val="Poppins"/>
      </rPr>
      <t xml:space="preserve"> Construction of Rainwater Harvesting System including excavation, filter media (sand &amp; aggregates), perforated pipes, recharge well, RCC cover, chamber with grating, piping connections, testing and commissioning complete as per specifications.	</t>
    </r>
  </si>
  <si>
    <t>Nos.</t>
  </si>
  <si>
    <t>Service Road</t>
  </si>
  <si>
    <t>Construction of New RD and junction improvement work</t>
  </si>
  <si>
    <t>S. No</t>
  </si>
  <si>
    <t>Chainage (km)</t>
  </si>
  <si>
    <t>Length (m)</t>
  </si>
  <si>
    <t>Width
 (m)</t>
  </si>
  <si>
    <t>Milling</t>
  </si>
  <si>
    <t>BC</t>
  </si>
  <si>
    <t>DBM</t>
  </si>
  <si>
    <t>Prime Coat (Sqm)</t>
  </si>
  <si>
    <t>Tack Coat (Sqm)</t>
  </si>
  <si>
    <t>BC Qty (Cum)</t>
  </si>
  <si>
    <t>Sch _B
/Maint.</t>
  </si>
  <si>
    <t>IE Observation</t>
  </si>
  <si>
    <t>DBM Location</t>
  </si>
  <si>
    <t>SRD</t>
  </si>
  <si>
    <t>Sch _B</t>
  </si>
  <si>
    <t>3.5 Mtr width Balance</t>
  </si>
  <si>
    <t>7.0 Mtr width Balance</t>
  </si>
  <si>
    <t>BC Location</t>
  </si>
  <si>
    <t>Total Qty:-</t>
  </si>
  <si>
    <t>Current Status of Initial Improvement works as per Schedule B (As on 08.11.2025)</t>
  </si>
  <si>
    <t>Junction improvement Work</t>
  </si>
  <si>
    <t>Sr.no.</t>
  </si>
  <si>
    <t>Description</t>
  </si>
  <si>
    <t>Km.</t>
  </si>
  <si>
    <t>Status of IE's Joint site visit</t>
  </si>
  <si>
    <t>Observation</t>
  </si>
  <si>
    <t>Sch-B</t>
  </si>
  <si>
    <t>Maintenance</t>
  </si>
  <si>
    <t>Excavation</t>
  </si>
  <si>
    <t>Emb</t>
  </si>
  <si>
    <t>SG</t>
  </si>
  <si>
    <t>GSB</t>
  </si>
  <si>
    <t>Prime Coat</t>
  </si>
  <si>
    <t xml:space="preserve">WMM </t>
  </si>
  <si>
    <t>Tack Coat</t>
  </si>
  <si>
    <t>Junction improvement</t>
  </si>
  <si>
    <t>647+040</t>
  </si>
  <si>
    <t>Balance at site (ROW issue)</t>
  </si>
  <si>
    <t>IE/Balance work as per site condition</t>
  </si>
  <si>
    <t>All Layer Bal.</t>
  </si>
  <si>
    <t>652+800</t>
  </si>
  <si>
    <t>Balance at site</t>
  </si>
  <si>
    <t>DBM &amp; BC</t>
  </si>
  <si>
    <t>Total Nos=&gt;</t>
  </si>
  <si>
    <t>`</t>
  </si>
  <si>
    <t>Measurment Sheet</t>
  </si>
  <si>
    <t>Road Side Drain</t>
  </si>
  <si>
    <t>Diamension</t>
  </si>
  <si>
    <t>Schedule Quantity</t>
  </si>
  <si>
    <t>S.No.</t>
  </si>
  <si>
    <t>Chainage</t>
  </si>
  <si>
    <t>Length</t>
  </si>
  <si>
    <t>Wall Height</t>
  </si>
  <si>
    <t>Wall Thick</t>
  </si>
  <si>
    <t>Raft Thick</t>
  </si>
  <si>
    <t>Raft Width</t>
  </si>
  <si>
    <t>Slab Thick</t>
  </si>
  <si>
    <t>Slab Width</t>
  </si>
  <si>
    <t>Levelling Course (M-15)</t>
  </si>
  <si>
    <t>Foundation (M-25)</t>
  </si>
  <si>
    <t>Wall (M-25)</t>
  </si>
  <si>
    <t>Slab (M-25)</t>
  </si>
  <si>
    <t xml:space="preserve">HYSD Steel </t>
  </si>
  <si>
    <t>Weep Hole</t>
  </si>
  <si>
    <t>Back filling</t>
  </si>
  <si>
    <t>Section-1 (601+000 to 646+000)</t>
  </si>
  <si>
    <t>Mtr</t>
  </si>
  <si>
    <t>MT</t>
  </si>
  <si>
    <t>Utility Shifting completed</t>
  </si>
  <si>
    <t>Balance work as per site condition</t>
  </si>
  <si>
    <t>Total (A)</t>
  </si>
  <si>
    <t>Section-2 (646+000 to 677+000)</t>
  </si>
  <si>
    <t>Balance Due to Utility Shifting</t>
  </si>
  <si>
    <t>Balance</t>
  </si>
  <si>
    <t xml:space="preserve">Partially Balance due to Height clearannce electrical utility </t>
  </si>
  <si>
    <t>Total (B)</t>
  </si>
  <si>
    <t>Total Balance Qty. (A+B)</t>
  </si>
  <si>
    <t xml:space="preserve">Rain water Harvesting </t>
  </si>
  <si>
    <t>Quantity in (Nos)</t>
  </si>
  <si>
    <t>Remarks/Observation</t>
  </si>
  <si>
    <t>671+100</t>
  </si>
  <si>
    <t>Balance=&gt;&gt;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</si>
</sst>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00"/>
    <numFmt numFmtId="165" formatCode="0.000"/>
    <numFmt numFmtId="166" formatCode="_ * #,##0_ ;_ * \-#,##0_ ;_ * &quot;-&quot;??_ ;_ @_ "/>
    <numFmt numFmtId="167" formatCode="&quot;₹&quot;\ #,##0"/>
    <numFmt numFmtId="168" formatCode="_(* #,##0.00_);_(* \(#,##0.00\);_(* &quot;-&quot;??_);_(@_)"/>
    <numFmt numFmtId="169" formatCode="_ * #,##0.0_ ;_ * \-#,##0.0_ ;_ * &quot;-&quot;??_ ;_ @_ "/>
    <numFmt numFmtId="170" formatCode="_ * #,##0.000_ ;_ * \-#,##0.000_ ;_ * &quot;-&quot;??_ ;_ @_ "/>
  </numFmts>
  <fonts count="40" x14ac:knownFonts="1">
    <font>
      <sz val="11"/>
      <color theme="1"/>
      <name val="Aptos Narrow"/>
      <family val="2"/>
      <scheme val="minor"/>
    </font>
    <font>
      <sz val="11"/>
      <color theme="1"/>
      <name val="Aptos Narrow"/>
      <family val="2"/>
      <scheme val="minor"/>
    </font>
    <font>
      <b/>
      <sz val="8"/>
      <color theme="1"/>
      <name val="Poppins"/>
    </font>
    <font>
      <sz val="8"/>
      <color theme="1"/>
      <name val="Poppins"/>
    </font>
    <font>
      <sz val="8"/>
      <name val="Poppins"/>
    </font>
    <font>
      <u/>
      <sz val="11"/>
      <color theme="10"/>
      <name val="Aptos Narrow"/>
      <family val="2"/>
      <scheme val="minor"/>
    </font>
    <font>
      <b/>
      <sz val="14"/>
      <color theme="1"/>
      <name val="Arial"/>
      <family val="2"/>
    </font>
    <font>
      <sz val="11"/>
      <color theme="1"/>
      <name val="Arial"/>
      <family val="2"/>
    </font>
    <font>
      <b/>
      <sz val="11"/>
      <color theme="1"/>
      <name val="Arial"/>
      <family val="2"/>
    </font>
    <font>
      <sz val="10"/>
      <color theme="1"/>
      <name val="Arial"/>
      <family val="2"/>
    </font>
    <font>
      <b/>
      <sz val="10"/>
      <color theme="1"/>
      <name val="Arial"/>
      <family val="2"/>
    </font>
    <font>
      <b/>
      <u/>
      <sz val="11"/>
      <color theme="10"/>
      <name val="Arial"/>
      <family val="2"/>
    </font>
    <font>
      <b/>
      <sz val="12"/>
      <color theme="1"/>
      <name val="Arial"/>
      <family val="2"/>
    </font>
    <font>
      <sz val="12"/>
      <color theme="1"/>
      <name val="Arial"/>
      <family val="2"/>
    </font>
    <font>
      <b/>
      <sz val="16"/>
      <color theme="1"/>
      <name val="Arial"/>
      <family val="2"/>
    </font>
    <font>
      <b/>
      <sz val="11"/>
      <color theme="1"/>
      <name val="Poppins"/>
    </font>
    <font>
      <b/>
      <sz val="9"/>
      <color theme="1"/>
      <name val="Poppins"/>
    </font>
    <font>
      <sz val="9"/>
      <color theme="1"/>
      <name val="Poppins"/>
    </font>
    <font>
      <sz val="9"/>
      <name val="Poppins"/>
    </font>
    <font>
      <sz val="11"/>
      <color theme="1"/>
      <name val="Poppins"/>
    </font>
    <font>
      <sz val="11"/>
      <name val="Poppins"/>
    </font>
    <font>
      <b/>
      <sz val="11"/>
      <name val="Poppins"/>
    </font>
    <font>
      <sz val="11"/>
      <color rgb="FFFF0000"/>
      <name val="Poppins"/>
    </font>
    <font>
      <b/>
      <u/>
      <sz val="11"/>
      <color theme="1"/>
      <name val="Poppins"/>
    </font>
    <font>
      <u/>
      <sz val="11"/>
      <color theme="1"/>
      <name val="Poppins"/>
    </font>
    <font>
      <b/>
      <sz val="14"/>
      <color theme="1"/>
      <name val="Poppins"/>
    </font>
    <font>
      <b/>
      <sz val="11"/>
      <color rgb="FF000000"/>
      <name val="Poppins"/>
    </font>
    <font>
      <sz val="11"/>
      <color rgb="FF000000"/>
      <name val="Poppins"/>
    </font>
    <font>
      <sz val="10"/>
      <color rgb="FF000000"/>
      <name val="Times New Roman"/>
      <family val="1"/>
    </font>
    <font>
      <b/>
      <sz val="10"/>
      <name val="Poppins"/>
    </font>
    <font>
      <sz val="10"/>
      <name val="Poppins"/>
    </font>
    <font>
      <b/>
      <sz val="10"/>
      <color rgb="FFFF0000"/>
      <name val="Poppins"/>
    </font>
    <font>
      <sz val="10"/>
      <name val="Arial"/>
      <family val="2"/>
    </font>
    <font>
      <b/>
      <u/>
      <sz val="14"/>
      <name val="Poppins"/>
    </font>
    <font>
      <b/>
      <sz val="14"/>
      <name val="Poppins"/>
    </font>
    <font>
      <b/>
      <sz val="12"/>
      <name val="Poppins"/>
    </font>
    <font>
      <sz val="12"/>
      <name val="Poppins"/>
    </font>
    <font>
      <sz val="10"/>
      <color rgb="FF000000"/>
      <name val="Poppins"/>
    </font>
    <font>
      <b/>
      <sz val="10"/>
      <color theme="1"/>
      <name val="Poppins"/>
    </font>
    <font>
      <sz val="11"/>
      <name val="Calibri"/>
      <family val="2"/>
    </font>
  </fonts>
  <fills count="12">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F1C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rgb="FFEBFFEB"/>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4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auto="1"/>
      </left>
      <right/>
      <top/>
      <bottom style="thin">
        <color auto="1"/>
      </bottom>
      <diagonal/>
    </border>
    <border>
      <left style="medium">
        <color indexed="64"/>
      </left>
      <right/>
      <top style="thin">
        <color indexed="64"/>
      </top>
      <bottom/>
      <diagonal/>
    </border>
    <border>
      <left/>
      <right/>
      <top style="thin">
        <color indexed="64"/>
      </top>
      <bottom/>
      <diagonal/>
    </border>
    <border>
      <left/>
      <right style="thin">
        <color auto="1"/>
      </right>
      <top style="thin">
        <color auto="1"/>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8" fillId="0" borderId="0"/>
    <xf numFmtId="168" fontId="1" fillId="0" borderId="0" applyFont="0" applyFill="0" applyBorder="0" applyAlignment="0" applyProtection="0"/>
    <xf numFmtId="0" fontId="1" fillId="0" borderId="0"/>
    <xf numFmtId="0" fontId="28" fillId="0" borderId="0"/>
    <xf numFmtId="0" fontId="32" fillId="0" borderId="0"/>
    <xf numFmtId="168" fontId="1" fillId="0" borderId="0" applyFont="0" applyFill="0" applyBorder="0" applyAlignment="0" applyProtection="0"/>
    <xf numFmtId="43" fontId="28" fillId="0" borderId="0" applyFont="0" applyFill="0" applyBorder="0" applyAlignment="0" applyProtection="0"/>
    <xf numFmtId="0" fontId="32" fillId="0" borderId="0"/>
    <xf numFmtId="0" fontId="39" fillId="0" borderId="0">
      <alignment vertical="center"/>
    </xf>
  </cellStyleXfs>
  <cellXfs count="331">
    <xf numFmtId="0" fontId="0" fillId="0" borderId="0" xfId="0"/>
    <xf numFmtId="0" fontId="3" fillId="0" borderId="0" xfId="0" applyFont="1"/>
    <xf numFmtId="0" fontId="3" fillId="0" borderId="3" xfId="0" applyFont="1" applyBorder="1" applyAlignment="1">
      <alignment horizontal="center" vertical="center"/>
    </xf>
    <xf numFmtId="164" fontId="3"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165" fontId="3" fillId="0" borderId="3"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0" xfId="0" applyFont="1" applyAlignment="1">
      <alignment vertical="center"/>
    </xf>
    <xf numFmtId="0" fontId="3" fillId="0" borderId="3" xfId="0" applyFont="1" applyBorder="1" applyAlignment="1">
      <alignment horizontal="center"/>
    </xf>
    <xf numFmtId="0" fontId="2" fillId="0" borderId="3" xfId="0" applyFont="1" applyBorder="1" applyAlignment="1">
      <alignment horizontal="center"/>
    </xf>
    <xf numFmtId="165" fontId="2" fillId="0" borderId="3" xfId="0" applyNumberFormat="1" applyFont="1" applyBorder="1" applyAlignment="1">
      <alignment horizontal="center"/>
    </xf>
    <xf numFmtId="0" fontId="3" fillId="0" borderId="0" xfId="0" applyFont="1" applyAlignment="1">
      <alignment horizontal="center"/>
    </xf>
    <xf numFmtId="2" fontId="2" fillId="0" borderId="3" xfId="0" applyNumberFormat="1" applyFont="1" applyBorder="1" applyAlignment="1">
      <alignment horizontal="center"/>
    </xf>
    <xf numFmtId="43" fontId="3" fillId="0" borderId="0" xfId="1" applyFont="1"/>
    <xf numFmtId="43" fontId="3" fillId="0" borderId="0" xfId="1" applyFont="1" applyAlignment="1">
      <alignment vertical="center"/>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7" fillId="0" borderId="0" xfId="3" applyFont="1" applyAlignment="1">
      <alignment vertical="center"/>
    </xf>
    <xf numFmtId="0" fontId="7" fillId="0" borderId="3" xfId="3" applyFont="1" applyBorder="1" applyAlignment="1">
      <alignment horizontal="center" vertical="center"/>
    </xf>
    <xf numFmtId="43" fontId="7" fillId="0" borderId="3" xfId="1" applyFont="1" applyBorder="1" applyAlignment="1">
      <alignment horizontal="center" vertical="center"/>
    </xf>
    <xf numFmtId="166" fontId="7" fillId="0" borderId="3" xfId="1" applyNumberFormat="1" applyFont="1" applyBorder="1" applyAlignment="1">
      <alignment horizontal="center" vertical="center"/>
    </xf>
    <xf numFmtId="43" fontId="7" fillId="0" borderId="0" xfId="1" applyFont="1" applyAlignment="1">
      <alignment vertical="center"/>
    </xf>
    <xf numFmtId="0" fontId="7" fillId="0" borderId="3" xfId="0" applyFont="1" applyBorder="1" applyAlignment="1">
      <alignment horizontal="center" vertical="center"/>
    </xf>
    <xf numFmtId="2" fontId="7" fillId="2" borderId="3" xfId="0" applyNumberFormat="1" applyFont="1" applyFill="1" applyBorder="1" applyAlignment="1">
      <alignment horizontal="center" vertical="center"/>
    </xf>
    <xf numFmtId="0" fontId="7" fillId="0" borderId="3" xfId="3" applyFont="1" applyBorder="1" applyAlignment="1">
      <alignment horizontal="center" vertical="center" wrapText="1"/>
    </xf>
    <xf numFmtId="0" fontId="7" fillId="2" borderId="3" xfId="0" applyFont="1" applyFill="1" applyBorder="1" applyAlignment="1">
      <alignment horizontal="center" vertical="center"/>
    </xf>
    <xf numFmtId="0" fontId="7" fillId="5" borderId="3" xfId="3" applyFont="1" applyFill="1" applyBorder="1" applyAlignment="1">
      <alignment horizontal="center" vertical="center"/>
    </xf>
    <xf numFmtId="0" fontId="8" fillId="4" borderId="3" xfId="3" applyFont="1" applyFill="1" applyBorder="1" applyAlignment="1">
      <alignment horizontal="center" vertical="center"/>
    </xf>
    <xf numFmtId="43" fontId="8" fillId="4" borderId="3" xfId="1" applyFont="1" applyFill="1" applyBorder="1" applyAlignment="1">
      <alignment horizontal="center" vertical="center" wrapText="1"/>
    </xf>
    <xf numFmtId="0" fontId="8" fillId="4" borderId="3" xfId="3" applyFont="1" applyFill="1" applyBorder="1" applyAlignment="1">
      <alignment horizontal="center" vertical="center" wrapText="1"/>
    </xf>
    <xf numFmtId="0" fontId="9" fillId="2" borderId="3" xfId="3" applyFont="1" applyFill="1" applyBorder="1" applyAlignment="1">
      <alignment horizontal="left" vertical="center" wrapText="1"/>
    </xf>
    <xf numFmtId="0" fontId="9" fillId="2" borderId="3" xfId="0" applyFont="1" applyFill="1" applyBorder="1" applyAlignment="1">
      <alignment vertical="center" wrapText="1"/>
    </xf>
    <xf numFmtId="0" fontId="7" fillId="2" borderId="3" xfId="0" applyFont="1" applyFill="1" applyBorder="1" applyAlignment="1">
      <alignment vertical="center" wrapText="1"/>
    </xf>
    <xf numFmtId="0" fontId="8" fillId="5" borderId="3" xfId="3" applyFont="1" applyFill="1" applyBorder="1" applyAlignment="1">
      <alignment vertical="center"/>
    </xf>
    <xf numFmtId="43" fontId="8" fillId="5" borderId="3" xfId="1" applyFont="1" applyFill="1" applyBorder="1" applyAlignment="1">
      <alignment vertical="center"/>
    </xf>
    <xf numFmtId="167" fontId="8" fillId="5" borderId="3" xfId="3" applyNumberFormat="1" applyFont="1" applyFill="1" applyBorder="1" applyAlignment="1">
      <alignment horizontal="center" vertical="center"/>
    </xf>
    <xf numFmtId="0" fontId="11" fillId="5" borderId="3" xfId="2" applyFont="1" applyFill="1" applyBorder="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vertical="center"/>
    </xf>
    <xf numFmtId="168" fontId="13" fillId="0" borderId="0" xfId="0" applyNumberFormat="1" applyFont="1" applyAlignment="1">
      <alignment vertical="center"/>
    </xf>
    <xf numFmtId="0" fontId="13" fillId="0" borderId="0" xfId="3" applyFont="1" applyAlignment="1">
      <alignment vertical="center"/>
    </xf>
    <xf numFmtId="43" fontId="13" fillId="0" borderId="0" xfId="1" applyFont="1" applyAlignment="1">
      <alignment vertical="top"/>
    </xf>
    <xf numFmtId="0" fontId="13" fillId="0" borderId="0" xfId="3" applyFont="1" applyAlignment="1">
      <alignment vertical="top"/>
    </xf>
    <xf numFmtId="43" fontId="13" fillId="0" borderId="0" xfId="1" applyFont="1" applyAlignment="1">
      <alignment vertical="center"/>
    </xf>
    <xf numFmtId="167" fontId="12" fillId="0" borderId="3" xfId="3" applyNumberFormat="1" applyFont="1" applyBorder="1" applyAlignment="1">
      <alignment horizontal="center" vertical="top"/>
    </xf>
    <xf numFmtId="0" fontId="16" fillId="7" borderId="3" xfId="0" applyFont="1" applyFill="1" applyBorder="1" applyAlignment="1">
      <alignment horizontal="center" vertical="center"/>
    </xf>
    <xf numFmtId="0" fontId="17" fillId="0" borderId="3" xfId="0" applyFont="1" applyBorder="1" applyAlignment="1">
      <alignment horizontal="center" vertical="center"/>
    </xf>
    <xf numFmtId="164" fontId="17"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165" fontId="17" fillId="0" borderId="3" xfId="0" applyNumberFormat="1" applyFont="1" applyBorder="1" applyAlignment="1">
      <alignment horizontal="center" vertical="center"/>
    </xf>
    <xf numFmtId="2" fontId="17" fillId="0" borderId="3"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164" fontId="17" fillId="2" borderId="3" xfId="0" applyNumberFormat="1" applyFont="1" applyFill="1" applyBorder="1" applyAlignment="1">
      <alignment horizontal="center" vertical="center"/>
    </xf>
    <xf numFmtId="0" fontId="18"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165" fontId="17" fillId="2" borderId="3" xfId="0" applyNumberFormat="1" applyFont="1" applyFill="1" applyBorder="1" applyAlignment="1">
      <alignment horizontal="center" vertical="center"/>
    </xf>
    <xf numFmtId="0" fontId="17" fillId="8" borderId="3" xfId="0" applyFont="1" applyFill="1" applyBorder="1" applyAlignment="1">
      <alignment horizontal="center"/>
    </xf>
    <xf numFmtId="0" fontId="16" fillId="8" borderId="3" xfId="0" applyFont="1" applyFill="1" applyBorder="1" applyAlignment="1">
      <alignment horizontal="center"/>
    </xf>
    <xf numFmtId="165" fontId="16" fillId="8" borderId="3" xfId="0" applyNumberFormat="1" applyFont="1" applyFill="1" applyBorder="1" applyAlignment="1">
      <alignment horizontal="center"/>
    </xf>
    <xf numFmtId="2" fontId="16" fillId="8" borderId="3" xfId="0" applyNumberFormat="1" applyFont="1" applyFill="1" applyBorder="1" applyAlignment="1">
      <alignment horizontal="center"/>
    </xf>
    <xf numFmtId="0" fontId="8" fillId="7" borderId="3" xfId="3" applyFont="1" applyFill="1" applyBorder="1" applyAlignment="1">
      <alignment horizontal="center" vertical="top"/>
    </xf>
    <xf numFmtId="0" fontId="8" fillId="7" borderId="3" xfId="3" applyFont="1" applyFill="1" applyBorder="1" applyAlignment="1">
      <alignment horizontal="center" vertical="top" wrapText="1"/>
    </xf>
    <xf numFmtId="0" fontId="7" fillId="0" borderId="3" xfId="3" applyFont="1" applyBorder="1" applyAlignment="1">
      <alignment horizontal="center" vertical="top"/>
    </xf>
    <xf numFmtId="0" fontId="7" fillId="2" borderId="3" xfId="3"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3" xfId="3" applyFont="1" applyFill="1" applyBorder="1" applyAlignment="1">
      <alignment horizontal="center" vertical="top"/>
    </xf>
    <xf numFmtId="0" fontId="8" fillId="8" borderId="3" xfId="3" applyFont="1" applyFill="1" applyBorder="1" applyAlignment="1">
      <alignment vertical="top"/>
    </xf>
    <xf numFmtId="167" fontId="8" fillId="8" borderId="3" xfId="3" applyNumberFormat="1" applyFont="1" applyFill="1" applyBorder="1" applyAlignment="1">
      <alignment horizontal="center" vertical="top"/>
    </xf>
    <xf numFmtId="0" fontId="7" fillId="8" borderId="3" xfId="3" applyFont="1" applyFill="1" applyBorder="1" applyAlignment="1">
      <alignment horizontal="center" vertical="center"/>
    </xf>
    <xf numFmtId="0" fontId="11" fillId="8" borderId="3" xfId="2" applyFont="1" applyFill="1" applyBorder="1" applyAlignment="1">
      <alignment vertical="top"/>
    </xf>
    <xf numFmtId="0" fontId="13" fillId="0" borderId="0" xfId="0" applyFont="1"/>
    <xf numFmtId="168" fontId="13" fillId="0" borderId="0" xfId="0" applyNumberFormat="1" applyFont="1"/>
    <xf numFmtId="0" fontId="6" fillId="3" borderId="3" xfId="3"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4" fillId="6" borderId="3" xfId="3" applyFont="1" applyFill="1" applyBorder="1" applyAlignment="1">
      <alignment horizontal="center" vertical="top"/>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9" fillId="0" borderId="0" xfId="3" applyFont="1" applyAlignment="1">
      <alignment vertical="center"/>
    </xf>
    <xf numFmtId="0" fontId="20" fillId="0" borderId="3" xfId="3" applyFont="1" applyBorder="1" applyAlignment="1">
      <alignment horizontal="left" vertical="center" wrapText="1"/>
    </xf>
    <xf numFmtId="0" fontId="20" fillId="0" borderId="3" xfId="4" applyFont="1" applyBorder="1" applyAlignment="1">
      <alignment horizontal="center" vertical="center"/>
    </xf>
    <xf numFmtId="43" fontId="19" fillId="0" borderId="3" xfId="1" applyFont="1" applyFill="1" applyBorder="1" applyAlignment="1">
      <alignment horizontal="center" vertical="center"/>
    </xf>
    <xf numFmtId="166" fontId="19" fillId="0" borderId="3" xfId="1" applyNumberFormat="1" applyFont="1" applyFill="1" applyBorder="1" applyAlignment="1">
      <alignment horizontal="center" vertical="center"/>
    </xf>
    <xf numFmtId="0" fontId="19" fillId="0" borderId="8" xfId="3" applyFont="1" applyBorder="1" applyAlignment="1">
      <alignment horizontal="center" vertical="center"/>
    </xf>
    <xf numFmtId="43" fontId="19" fillId="0" borderId="0" xfId="1" applyFont="1" applyAlignment="1">
      <alignment vertical="center"/>
    </xf>
    <xf numFmtId="0" fontId="20" fillId="0" borderId="3" xfId="3" applyFont="1" applyBorder="1" applyAlignment="1">
      <alignment vertical="center" wrapText="1"/>
    </xf>
    <xf numFmtId="0" fontId="19" fillId="0" borderId="3" xfId="3" applyFont="1" applyBorder="1" applyAlignment="1">
      <alignment vertical="center" wrapText="1"/>
    </xf>
    <xf numFmtId="43" fontId="19" fillId="0" borderId="3" xfId="3" applyNumberFormat="1" applyFont="1" applyBorder="1" applyAlignment="1">
      <alignment horizontal="center" vertical="center"/>
    </xf>
    <xf numFmtId="0" fontId="19" fillId="0" borderId="3" xfId="0" applyFont="1" applyBorder="1" applyAlignment="1">
      <alignment horizontal="center" vertical="center"/>
    </xf>
    <xf numFmtId="2" fontId="19" fillId="0" borderId="3" xfId="0" applyNumberFormat="1" applyFont="1" applyBorder="1" applyAlignment="1">
      <alignment horizontal="center" vertical="center"/>
    </xf>
    <xf numFmtId="0" fontId="19" fillId="0" borderId="8" xfId="3" applyFont="1" applyBorder="1" applyAlignment="1">
      <alignment horizontal="center" vertical="center" wrapText="1"/>
    </xf>
    <xf numFmtId="0" fontId="19" fillId="0" borderId="3" xfId="3" applyFont="1" applyBorder="1" applyAlignment="1">
      <alignment horizontal="center" vertical="center"/>
    </xf>
    <xf numFmtId="0" fontId="19" fillId="2" borderId="7" xfId="4" applyFont="1" applyFill="1" applyBorder="1" applyAlignment="1">
      <alignment horizontal="center" vertical="center"/>
    </xf>
    <xf numFmtId="0" fontId="20" fillId="2" borderId="3" xfId="4" applyFont="1" applyFill="1" applyBorder="1" applyAlignment="1">
      <alignment vertical="center" wrapText="1"/>
    </xf>
    <xf numFmtId="0" fontId="20" fillId="2" borderId="3" xfId="4" applyFont="1" applyFill="1" applyBorder="1" applyAlignment="1">
      <alignment horizontal="center" vertical="center"/>
    </xf>
    <xf numFmtId="43" fontId="19" fillId="2" borderId="3" xfId="1" applyFont="1" applyFill="1" applyBorder="1" applyAlignment="1">
      <alignment vertical="center"/>
    </xf>
    <xf numFmtId="43" fontId="19" fillId="2" borderId="8" xfId="5" applyFont="1" applyFill="1" applyBorder="1" applyAlignment="1">
      <alignment vertical="center" wrapText="1"/>
    </xf>
    <xf numFmtId="0" fontId="20" fillId="0" borderId="3" xfId="6" applyFont="1" applyBorder="1" applyAlignment="1">
      <alignment vertical="center" wrapText="1"/>
    </xf>
    <xf numFmtId="0" fontId="19" fillId="2" borderId="3" xfId="4" applyFont="1" applyFill="1" applyBorder="1" applyAlignment="1">
      <alignment vertical="center" wrapText="1"/>
    </xf>
    <xf numFmtId="0" fontId="15" fillId="0" borderId="9" xfId="3" applyFont="1" applyBorder="1" applyAlignment="1">
      <alignment horizontal="left" vertical="center" wrapText="1"/>
    </xf>
    <xf numFmtId="1" fontId="19" fillId="0" borderId="3" xfId="3" applyNumberFormat="1" applyFont="1" applyBorder="1" applyAlignment="1">
      <alignment horizontal="center" vertical="center"/>
    </xf>
    <xf numFmtId="0" fontId="19" fillId="0" borderId="0" xfId="4" applyFont="1" applyAlignment="1">
      <alignment vertical="center"/>
    </xf>
    <xf numFmtId="0" fontId="19" fillId="10" borderId="11"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3" xfId="3" applyFont="1" applyFill="1" applyBorder="1" applyAlignment="1">
      <alignment horizontal="center" vertical="center"/>
    </xf>
    <xf numFmtId="0" fontId="15" fillId="4" borderId="3" xfId="3" applyFont="1" applyFill="1" applyBorder="1" applyAlignment="1">
      <alignment horizontal="center" vertical="center" wrapText="1"/>
    </xf>
    <xf numFmtId="0" fontId="15" fillId="4" borderId="8" xfId="3" applyFont="1" applyFill="1" applyBorder="1" applyAlignment="1">
      <alignment horizontal="center" vertical="center"/>
    </xf>
    <xf numFmtId="0" fontId="15" fillId="9" borderId="7" xfId="3" applyFont="1" applyFill="1" applyBorder="1" applyAlignment="1">
      <alignment horizontal="center" vertical="center"/>
    </xf>
    <xf numFmtId="0" fontId="15" fillId="9" borderId="3" xfId="3" applyFont="1" applyFill="1" applyBorder="1" applyAlignment="1">
      <alignment horizontal="left" vertical="center"/>
    </xf>
    <xf numFmtId="0" fontId="15" fillId="9" borderId="3" xfId="3" applyFont="1" applyFill="1" applyBorder="1" applyAlignment="1">
      <alignment horizontal="center" vertical="center"/>
    </xf>
    <xf numFmtId="0" fontId="15" fillId="9" borderId="3" xfId="3" applyFont="1" applyFill="1" applyBorder="1" applyAlignment="1">
      <alignment horizontal="center" vertical="center" wrapText="1"/>
    </xf>
    <xf numFmtId="0" fontId="15" fillId="9" borderId="8" xfId="3" applyFont="1" applyFill="1" applyBorder="1" applyAlignment="1">
      <alignment horizontal="center" vertical="center"/>
    </xf>
    <xf numFmtId="0" fontId="19" fillId="0" borderId="7" xfId="3" applyFont="1" applyBorder="1" applyAlignment="1">
      <alignment horizontal="center" vertical="center"/>
    </xf>
    <xf numFmtId="0" fontId="19" fillId="2" borderId="3" xfId="0" applyFont="1" applyFill="1" applyBorder="1" applyAlignment="1">
      <alignment vertical="center" wrapText="1"/>
    </xf>
    <xf numFmtId="0" fontId="22" fillId="0" borderId="0" xfId="4" applyFont="1" applyAlignment="1">
      <alignment vertical="center"/>
    </xf>
    <xf numFmtId="0" fontId="19" fillId="10" borderId="10" xfId="3" applyFont="1" applyFill="1" applyBorder="1" applyAlignment="1">
      <alignment horizontal="center" vertical="center"/>
    </xf>
    <xf numFmtId="0" fontId="15" fillId="10" borderId="9" xfId="3" applyFont="1" applyFill="1" applyBorder="1" applyAlignment="1">
      <alignment vertical="center"/>
    </xf>
    <xf numFmtId="166" fontId="15" fillId="10" borderId="9" xfId="1" applyNumberFormat="1" applyFont="1" applyFill="1" applyBorder="1" applyAlignment="1">
      <alignment horizontal="center" vertical="center"/>
    </xf>
    <xf numFmtId="167" fontId="15" fillId="0" borderId="3" xfId="3" applyNumberFormat="1" applyFont="1" applyBorder="1" applyAlignment="1">
      <alignment horizontal="center" vertical="center"/>
    </xf>
    <xf numFmtId="0" fontId="15" fillId="11" borderId="12" xfId="4" applyFont="1" applyFill="1" applyBorder="1" applyAlignment="1">
      <alignment horizontal="center" vertical="center"/>
    </xf>
    <xf numFmtId="0" fontId="15" fillId="11" borderId="13" xfId="4" applyFont="1" applyFill="1" applyBorder="1" applyAlignment="1">
      <alignment horizontal="center" vertical="center"/>
    </xf>
    <xf numFmtId="0" fontId="15" fillId="11" borderId="14" xfId="4" applyFont="1" applyFill="1" applyBorder="1" applyAlignment="1">
      <alignment horizontal="center" vertical="center"/>
    </xf>
    <xf numFmtId="0" fontId="19" fillId="0" borderId="0" xfId="4" applyFont="1"/>
    <xf numFmtId="0" fontId="15" fillId="11" borderId="4" xfId="4" applyFont="1" applyFill="1" applyBorder="1" applyAlignment="1">
      <alignment horizontal="center" vertical="center"/>
    </xf>
    <xf numFmtId="0" fontId="15" fillId="11" borderId="5" xfId="4" applyFont="1" applyFill="1" applyBorder="1" applyAlignment="1">
      <alignment horizontal="center" vertical="center"/>
    </xf>
    <xf numFmtId="0" fontId="15" fillId="11" borderId="15" xfId="4" applyFont="1" applyFill="1" applyBorder="1" applyAlignment="1">
      <alignment horizontal="center" vertical="center"/>
    </xf>
    <xf numFmtId="0" fontId="15" fillId="11" borderId="6" xfId="4" applyFont="1" applyFill="1" applyBorder="1" applyAlignment="1">
      <alignment horizontal="center" vertical="center"/>
    </xf>
    <xf numFmtId="0" fontId="26" fillId="0" borderId="24" xfId="4" applyFont="1" applyBorder="1" applyAlignment="1">
      <alignment horizontal="left" vertical="center" wrapText="1"/>
    </xf>
    <xf numFmtId="0" fontId="26" fillId="0" borderId="25" xfId="4" applyFont="1" applyBorder="1" applyAlignment="1">
      <alignment horizontal="left" vertical="center" wrapText="1"/>
    </xf>
    <xf numFmtId="0" fontId="26" fillId="0" borderId="26" xfId="4" applyFont="1" applyBorder="1" applyAlignment="1">
      <alignment horizontal="left" vertical="center" wrapText="1"/>
    </xf>
    <xf numFmtId="0" fontId="27" fillId="0" borderId="16" xfId="4" applyFont="1" applyBorder="1" applyAlignment="1">
      <alignment horizontal="center" vertical="center" wrapText="1"/>
    </xf>
    <xf numFmtId="164" fontId="20" fillId="0" borderId="17" xfId="7" applyNumberFormat="1" applyFont="1" applyBorder="1" applyAlignment="1">
      <alignment horizontal="center" vertical="center"/>
    </xf>
    <xf numFmtId="1" fontId="20" fillId="0" borderId="17" xfId="8" applyNumberFormat="1" applyFont="1" applyFill="1" applyBorder="1" applyAlignment="1">
      <alignment horizontal="center" vertical="center"/>
    </xf>
    <xf numFmtId="0" fontId="19" fillId="0" borderId="17" xfId="4" applyFont="1" applyBorder="1" applyAlignment="1">
      <alignment horizontal="center" vertical="center" wrapText="1"/>
    </xf>
    <xf numFmtId="165" fontId="19" fillId="0" borderId="17" xfId="9" applyNumberFormat="1" applyFont="1" applyBorder="1" applyAlignment="1">
      <alignment horizontal="center" vertical="center"/>
    </xf>
    <xf numFmtId="169" fontId="19" fillId="0" borderId="17" xfId="1" applyNumberFormat="1" applyFont="1" applyFill="1" applyBorder="1" applyAlignment="1">
      <alignment horizontal="center" vertical="center" wrapText="1"/>
    </xf>
    <xf numFmtId="43" fontId="19" fillId="0" borderId="17" xfId="5" applyFont="1" applyFill="1" applyBorder="1" applyAlignment="1">
      <alignment horizontal="center" vertical="center" wrapText="1"/>
    </xf>
    <xf numFmtId="170" fontId="19" fillId="0" borderId="17" xfId="5" applyNumberFormat="1" applyFont="1" applyFill="1" applyBorder="1" applyAlignment="1">
      <alignment horizontal="center" vertical="center" wrapText="1"/>
    </xf>
    <xf numFmtId="43" fontId="19" fillId="0" borderId="1" xfId="5" applyFont="1" applyFill="1" applyBorder="1" applyAlignment="1">
      <alignment horizontal="center" vertical="center" wrapText="1"/>
    </xf>
    <xf numFmtId="0" fontId="19" fillId="0" borderId="17" xfId="4" applyFont="1" applyBorder="1" applyAlignment="1">
      <alignment horizontal="center" vertical="center"/>
    </xf>
    <xf numFmtId="0" fontId="19" fillId="0" borderId="1" xfId="4" applyFont="1" applyBorder="1" applyAlignment="1">
      <alignment horizontal="center" vertical="center"/>
    </xf>
    <xf numFmtId="0" fontId="19" fillId="0" borderId="20" xfId="4" applyFont="1" applyBorder="1" applyAlignment="1">
      <alignment vertical="center" wrapText="1"/>
    </xf>
    <xf numFmtId="0" fontId="27" fillId="0" borderId="7" xfId="4" applyFont="1" applyBorder="1" applyAlignment="1">
      <alignment horizontal="center" vertical="center" wrapText="1"/>
    </xf>
    <xf numFmtId="165" fontId="19" fillId="0" borderId="3" xfId="9" applyNumberFormat="1" applyFont="1" applyBorder="1" applyAlignment="1">
      <alignment horizontal="center" vertical="center"/>
    </xf>
    <xf numFmtId="0" fontId="19" fillId="0" borderId="3" xfId="4" applyFont="1" applyBorder="1" applyAlignment="1">
      <alignment horizontal="center" vertical="center"/>
    </xf>
    <xf numFmtId="0" fontId="19" fillId="0" borderId="27" xfId="4" applyFont="1" applyBorder="1" applyAlignment="1">
      <alignment horizontal="center" vertical="center"/>
    </xf>
    <xf numFmtId="0" fontId="19" fillId="0" borderId="8" xfId="4" applyFont="1" applyBorder="1" applyAlignment="1">
      <alignment vertical="center" wrapText="1"/>
    </xf>
    <xf numFmtId="164" fontId="20" fillId="0" borderId="3" xfId="3" applyNumberFormat="1" applyFont="1" applyBorder="1" applyAlignment="1">
      <alignment horizontal="center" vertical="center"/>
    </xf>
    <xf numFmtId="1" fontId="20" fillId="0" borderId="3" xfId="8" applyNumberFormat="1" applyFont="1" applyFill="1" applyBorder="1" applyAlignment="1">
      <alignment horizontal="center" vertical="center"/>
    </xf>
    <xf numFmtId="0" fontId="27" fillId="0" borderId="3" xfId="4" applyFont="1" applyBorder="1" applyAlignment="1">
      <alignment horizontal="center" vertical="center" wrapText="1"/>
    </xf>
    <xf numFmtId="0" fontId="26" fillId="0" borderId="3" xfId="4" applyFont="1" applyBorder="1" applyAlignment="1">
      <alignment horizontal="center" vertical="center" wrapText="1"/>
    </xf>
    <xf numFmtId="2" fontId="19" fillId="0" borderId="3" xfId="9" applyNumberFormat="1" applyFont="1" applyBorder="1" applyAlignment="1">
      <alignment horizontal="center" vertical="center"/>
    </xf>
    <xf numFmtId="169" fontId="19" fillId="0" borderId="17" xfId="1" applyNumberFormat="1" applyFont="1" applyFill="1" applyBorder="1" applyAlignment="1">
      <alignment horizontal="center" vertical="center"/>
    </xf>
    <xf numFmtId="0" fontId="26" fillId="0" borderId="27" xfId="4" applyFont="1" applyBorder="1" applyAlignment="1">
      <alignment horizontal="center" vertical="center" wrapText="1"/>
    </xf>
    <xf numFmtId="0" fontId="27" fillId="0" borderId="21" xfId="4" applyFont="1" applyBorder="1" applyAlignment="1">
      <alignment horizontal="center" vertical="center" wrapText="1"/>
    </xf>
    <xf numFmtId="164" fontId="20" fillId="0" borderId="18" xfId="3" applyNumberFormat="1" applyFont="1" applyBorder="1" applyAlignment="1">
      <alignment horizontal="center" vertical="center"/>
    </xf>
    <xf numFmtId="1" fontId="20" fillId="0" borderId="18" xfId="8" applyNumberFormat="1" applyFont="1" applyFill="1" applyBorder="1" applyAlignment="1">
      <alignment horizontal="center" vertical="center"/>
    </xf>
    <xf numFmtId="0" fontId="27" fillId="0" borderId="18" xfId="4" applyFont="1" applyBorder="1" applyAlignment="1">
      <alignment horizontal="center" vertical="center" wrapText="1"/>
    </xf>
    <xf numFmtId="0" fontId="19" fillId="0" borderId="18" xfId="4" applyFont="1" applyBorder="1" applyAlignment="1">
      <alignment horizontal="center" vertical="center" wrapText="1"/>
    </xf>
    <xf numFmtId="0" fontId="26" fillId="0" borderId="22" xfId="4" applyFont="1" applyBorder="1" applyAlignment="1">
      <alignment horizontal="center" vertical="center" wrapText="1"/>
    </xf>
    <xf numFmtId="165" fontId="19" fillId="0" borderId="22" xfId="9" applyNumberFormat="1" applyFont="1" applyBorder="1" applyAlignment="1">
      <alignment horizontal="center" vertical="center"/>
    </xf>
    <xf numFmtId="169" fontId="19" fillId="0" borderId="18" xfId="1" applyNumberFormat="1" applyFont="1" applyFill="1" applyBorder="1" applyAlignment="1">
      <alignment horizontal="center" vertical="center"/>
    </xf>
    <xf numFmtId="43" fontId="19" fillId="0" borderId="18" xfId="5" applyFont="1" applyFill="1" applyBorder="1" applyAlignment="1">
      <alignment horizontal="center" vertical="center" wrapText="1"/>
    </xf>
    <xf numFmtId="170" fontId="19" fillId="0" borderId="18" xfId="5" applyNumberFormat="1" applyFont="1" applyFill="1" applyBorder="1" applyAlignment="1">
      <alignment horizontal="center" vertical="center" wrapText="1"/>
    </xf>
    <xf numFmtId="0" fontId="26" fillId="0" borderId="18" xfId="4" applyFont="1" applyBorder="1" applyAlignment="1">
      <alignment horizontal="center" vertical="center" wrapText="1"/>
    </xf>
    <xf numFmtId="0" fontId="26" fillId="0" borderId="19" xfId="4" applyFont="1" applyBorder="1" applyAlignment="1">
      <alignment horizontal="center" vertical="center" wrapText="1"/>
    </xf>
    <xf numFmtId="0" fontId="19" fillId="0" borderId="22" xfId="4" applyFont="1" applyBorder="1" applyAlignment="1">
      <alignment horizontal="center" vertical="center"/>
    </xf>
    <xf numFmtId="0" fontId="19" fillId="0" borderId="28" xfId="4" applyFont="1" applyBorder="1" applyAlignment="1">
      <alignment horizontal="center" vertical="center"/>
    </xf>
    <xf numFmtId="0" fontId="19" fillId="0" borderId="23" xfId="4" applyFont="1" applyBorder="1" applyAlignment="1">
      <alignment vertical="center" wrapText="1"/>
    </xf>
    <xf numFmtId="164" fontId="20" fillId="0" borderId="17" xfId="3" applyNumberFormat="1" applyFont="1" applyBorder="1" applyAlignment="1">
      <alignment horizontal="center" vertical="center"/>
    </xf>
    <xf numFmtId="0" fontId="27" fillId="0" borderId="17" xfId="4" applyFont="1" applyBorder="1" applyAlignment="1">
      <alignment horizontal="center" vertical="center" wrapText="1"/>
    </xf>
    <xf numFmtId="0" fontId="19" fillId="0" borderId="3" xfId="4" applyFont="1" applyBorder="1" applyAlignment="1">
      <alignment horizontal="center" vertical="center" wrapText="1"/>
    </xf>
    <xf numFmtId="170" fontId="19" fillId="0" borderId="3" xfId="5" applyNumberFormat="1" applyFont="1" applyFill="1" applyBorder="1" applyAlignment="1">
      <alignment horizontal="center" vertical="center" wrapText="1"/>
    </xf>
    <xf numFmtId="0" fontId="27" fillId="0" borderId="27" xfId="4" applyFont="1" applyBorder="1" applyAlignment="1">
      <alignment horizontal="center" vertical="center" wrapText="1"/>
    </xf>
    <xf numFmtId="0" fontId="15" fillId="0" borderId="29"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31" xfId="4" applyFont="1" applyBorder="1" applyAlignment="1">
      <alignment horizontal="center" vertical="center" wrapText="1"/>
    </xf>
    <xf numFmtId="0" fontId="15" fillId="0" borderId="9" xfId="4" applyFont="1" applyBorder="1" applyAlignment="1">
      <alignment horizontal="center" vertical="center" wrapText="1"/>
    </xf>
    <xf numFmtId="166" fontId="15" fillId="0" borderId="9" xfId="5" applyNumberFormat="1" applyFont="1" applyBorder="1" applyAlignment="1">
      <alignment horizontal="center" vertical="center" wrapText="1"/>
    </xf>
    <xf numFmtId="43" fontId="15" fillId="0" borderId="9" xfId="5" applyFont="1" applyBorder="1" applyAlignment="1">
      <alignment horizontal="center" vertical="center" wrapText="1"/>
    </xf>
    <xf numFmtId="0" fontId="19" fillId="0" borderId="9" xfId="4" applyFont="1" applyBorder="1" applyAlignment="1">
      <alignment horizontal="center"/>
    </xf>
    <xf numFmtId="0" fontId="19" fillId="0" borderId="32" xfId="4" applyFont="1" applyBorder="1" applyAlignment="1">
      <alignment horizontal="center"/>
    </xf>
    <xf numFmtId="0" fontId="19" fillId="0" borderId="11" xfId="4" applyFont="1" applyBorder="1"/>
    <xf numFmtId="0" fontId="19" fillId="0" borderId="33" xfId="4" applyFont="1" applyBorder="1"/>
    <xf numFmtId="0" fontId="19" fillId="0" borderId="0" xfId="4" applyFont="1" applyAlignment="1">
      <alignment horizontal="center" vertical="center" wrapText="1"/>
    </xf>
    <xf numFmtId="0" fontId="19" fillId="0" borderId="0" xfId="4" applyFont="1" applyAlignment="1">
      <alignment horizontal="right"/>
    </xf>
    <xf numFmtId="43" fontId="19" fillId="0" borderId="0" xfId="4" applyNumberFormat="1" applyFont="1"/>
    <xf numFmtId="0" fontId="26" fillId="4" borderId="16" xfId="4" applyFont="1" applyFill="1" applyBorder="1" applyAlignment="1">
      <alignment horizontal="center" vertical="center" wrapText="1"/>
    </xf>
    <xf numFmtId="0" fontId="26" fillId="4" borderId="17" xfId="4" applyFont="1" applyFill="1" applyBorder="1" applyAlignment="1">
      <alignment horizontal="left" vertical="center" wrapText="1" indent="2"/>
    </xf>
    <xf numFmtId="0" fontId="26" fillId="4" borderId="17" xfId="4" applyFont="1" applyFill="1" applyBorder="1" applyAlignment="1">
      <alignment horizontal="center" vertical="center" wrapText="1"/>
    </xf>
    <xf numFmtId="0" fontId="26" fillId="4" borderId="18" xfId="4" applyFont="1" applyFill="1" applyBorder="1" applyAlignment="1">
      <alignment horizontal="center" vertical="center" wrapText="1"/>
    </xf>
    <xf numFmtId="0" fontId="26" fillId="4" borderId="19" xfId="4" applyFont="1" applyFill="1" applyBorder="1" applyAlignment="1">
      <alignment horizontal="center" vertical="center" wrapText="1"/>
    </xf>
    <xf numFmtId="0" fontId="15" fillId="4" borderId="17" xfId="4" applyFont="1" applyFill="1" applyBorder="1" applyAlignment="1">
      <alignment horizontal="center" vertical="center"/>
    </xf>
    <xf numFmtId="0" fontId="15" fillId="4" borderId="17" xfId="4" applyFont="1" applyFill="1" applyBorder="1" applyAlignment="1">
      <alignment horizontal="center" vertical="center" wrapText="1"/>
    </xf>
    <xf numFmtId="0" fontId="15" fillId="4" borderId="20" xfId="4" applyFont="1" applyFill="1" applyBorder="1" applyAlignment="1">
      <alignment horizontal="center" vertical="center"/>
    </xf>
    <xf numFmtId="0" fontId="26" fillId="4" borderId="21" xfId="4" applyFont="1" applyFill="1" applyBorder="1" applyAlignment="1">
      <alignment horizontal="center" vertical="center" wrapText="1"/>
    </xf>
    <xf numFmtId="0" fontId="26" fillId="4" borderId="22" xfId="4" applyFont="1" applyFill="1" applyBorder="1" applyAlignment="1">
      <alignment horizontal="left" vertical="center" wrapText="1" indent="2"/>
    </xf>
    <xf numFmtId="0" fontId="26" fillId="4" borderId="22" xfId="4" applyFont="1" applyFill="1" applyBorder="1" applyAlignment="1">
      <alignment horizontal="center" vertical="center" wrapText="1"/>
    </xf>
    <xf numFmtId="0" fontId="26" fillId="4" borderId="22" xfId="4" applyFont="1" applyFill="1" applyBorder="1" applyAlignment="1">
      <alignment horizontal="center" vertical="center" wrapText="1"/>
    </xf>
    <xf numFmtId="0" fontId="15" fillId="4" borderId="22" xfId="4" applyFont="1" applyFill="1" applyBorder="1" applyAlignment="1">
      <alignment horizontal="center" vertical="center"/>
    </xf>
    <xf numFmtId="0" fontId="15" fillId="4" borderId="22" xfId="4" applyFont="1" applyFill="1" applyBorder="1" applyAlignment="1">
      <alignment horizontal="center" vertical="center" wrapText="1"/>
    </xf>
    <xf numFmtId="0" fontId="15" fillId="4" borderId="23" xfId="4" applyFont="1" applyFill="1" applyBorder="1" applyAlignment="1">
      <alignment horizontal="center" vertical="center"/>
    </xf>
    <xf numFmtId="0" fontId="29" fillId="11" borderId="3" xfId="10" applyFont="1" applyFill="1" applyBorder="1" applyAlignment="1">
      <alignment horizontal="center" vertical="center"/>
    </xf>
    <xf numFmtId="0" fontId="30" fillId="0" borderId="0" xfId="10" applyFont="1"/>
    <xf numFmtId="0" fontId="31" fillId="0" borderId="0" xfId="10" applyFont="1"/>
    <xf numFmtId="0" fontId="29" fillId="11" borderId="3" xfId="10" applyFont="1" applyFill="1" applyBorder="1" applyAlignment="1">
      <alignment horizontal="center" vertical="center"/>
    </xf>
    <xf numFmtId="0" fontId="30" fillId="11" borderId="3" xfId="10" applyFont="1" applyFill="1" applyBorder="1"/>
    <xf numFmtId="0" fontId="30" fillId="0" borderId="3" xfId="10" applyFont="1" applyBorder="1"/>
    <xf numFmtId="0" fontId="30" fillId="0" borderId="3" xfId="10" applyFont="1" applyBorder="1" applyAlignment="1">
      <alignment horizontal="center" vertical="top"/>
    </xf>
    <xf numFmtId="0" fontId="30" fillId="0" borderId="3" xfId="10" applyFont="1" applyBorder="1" applyAlignment="1">
      <alignment horizontal="center" vertical="top" wrapText="1"/>
    </xf>
    <xf numFmtId="164" fontId="30" fillId="0" borderId="3" xfId="10" applyNumberFormat="1" applyFont="1" applyBorder="1" applyAlignment="1">
      <alignment horizontal="center" vertical="top"/>
    </xf>
    <xf numFmtId="1" fontId="30" fillId="0" borderId="3" xfId="8" applyNumberFormat="1" applyFont="1" applyFill="1" applyBorder="1" applyAlignment="1">
      <alignment horizontal="center" vertical="top"/>
    </xf>
    <xf numFmtId="0" fontId="30" fillId="0" borderId="3" xfId="10" applyFont="1" applyBorder="1" applyAlignment="1">
      <alignment vertical="top" wrapText="1"/>
    </xf>
    <xf numFmtId="0" fontId="30" fillId="0" borderId="0" xfId="10" applyFont="1" applyAlignment="1">
      <alignment vertical="top"/>
    </xf>
    <xf numFmtId="0" fontId="30" fillId="0" borderId="3" xfId="10" applyFont="1" applyBorder="1" applyAlignment="1">
      <alignment vertical="top"/>
    </xf>
    <xf numFmtId="0" fontId="30" fillId="0" borderId="22" xfId="10" applyFont="1" applyBorder="1" applyAlignment="1">
      <alignment horizontal="center" vertical="top"/>
    </xf>
    <xf numFmtId="0" fontId="30" fillId="0" borderId="22" xfId="10" applyFont="1" applyBorder="1" applyAlignment="1">
      <alignment horizontal="center" vertical="top" wrapText="1"/>
    </xf>
    <xf numFmtId="164" fontId="30" fillId="0" borderId="22" xfId="10" applyNumberFormat="1" applyFont="1" applyBorder="1" applyAlignment="1">
      <alignment horizontal="center" vertical="top"/>
    </xf>
    <xf numFmtId="1" fontId="30" fillId="0" borderId="22" xfId="8" applyNumberFormat="1" applyFont="1" applyFill="1" applyBorder="1" applyAlignment="1">
      <alignment horizontal="center" vertical="top"/>
    </xf>
    <xf numFmtId="0" fontId="30" fillId="0" borderId="22" xfId="10" applyFont="1" applyBorder="1" applyAlignment="1">
      <alignment vertical="top" wrapText="1"/>
    </xf>
    <xf numFmtId="0" fontId="30" fillId="0" borderId="24" xfId="10" applyFont="1" applyBorder="1"/>
    <xf numFmtId="0" fontId="30" fillId="0" borderId="25" xfId="10" applyFont="1" applyBorder="1"/>
    <xf numFmtId="0" fontId="29" fillId="0" borderId="25" xfId="10" applyFont="1" applyBorder="1" applyAlignment="1">
      <alignment horizontal="center"/>
    </xf>
    <xf numFmtId="0" fontId="30" fillId="0" borderId="25" xfId="10" applyFont="1" applyBorder="1" applyAlignment="1">
      <alignment horizontal="center"/>
    </xf>
    <xf numFmtId="0" fontId="30" fillId="0" borderId="26" xfId="10" applyFont="1" applyBorder="1"/>
    <xf numFmtId="0" fontId="29" fillId="0" borderId="0" xfId="10" applyFont="1"/>
    <xf numFmtId="0" fontId="33" fillId="11" borderId="24" xfId="11" applyFont="1" applyFill="1" applyBorder="1" applyAlignment="1">
      <alignment horizontal="center" vertical="center"/>
    </xf>
    <xf numFmtId="0" fontId="33" fillId="11" borderId="25" xfId="11" applyFont="1" applyFill="1" applyBorder="1" applyAlignment="1">
      <alignment horizontal="center" vertical="center"/>
    </xf>
    <xf numFmtId="0" fontId="33" fillId="11" borderId="26" xfId="11" applyFont="1" applyFill="1" applyBorder="1" applyAlignment="1">
      <alignment horizontal="center" vertical="center"/>
    </xf>
    <xf numFmtId="0" fontId="33" fillId="11" borderId="0" xfId="11" applyFont="1" applyFill="1" applyAlignment="1">
      <alignment horizontal="center" vertical="center"/>
    </xf>
    <xf numFmtId="0" fontId="30" fillId="0" borderId="0" xfId="7" applyFont="1" applyAlignment="1">
      <alignment horizontal="center" vertical="center" wrapText="1"/>
    </xf>
    <xf numFmtId="0" fontId="30" fillId="0" borderId="0" xfId="7" applyFont="1" applyAlignment="1">
      <alignment horizontal="center" vertical="center"/>
    </xf>
    <xf numFmtId="0" fontId="34" fillId="11" borderId="34" xfId="7" applyFont="1" applyFill="1" applyBorder="1" applyAlignment="1">
      <alignment horizontal="center" vertical="center" wrapText="1"/>
    </xf>
    <xf numFmtId="0" fontId="34" fillId="11" borderId="35" xfId="7" applyFont="1" applyFill="1" applyBorder="1" applyAlignment="1">
      <alignment horizontal="center" vertical="center" wrapText="1"/>
    </xf>
    <xf numFmtId="0" fontId="34" fillId="11" borderId="3" xfId="7" applyFont="1" applyFill="1" applyBorder="1" applyAlignment="1">
      <alignment horizontal="center" vertical="center" wrapText="1"/>
    </xf>
    <xf numFmtId="0" fontId="34" fillId="11" borderId="3" xfId="7" applyFont="1" applyFill="1" applyBorder="1" applyAlignment="1">
      <alignment horizontal="center" vertical="center" wrapText="1"/>
    </xf>
    <xf numFmtId="0" fontId="34" fillId="0" borderId="3" xfId="7" applyFont="1" applyBorder="1" applyAlignment="1">
      <alignment horizontal="center" vertical="center" wrapText="1"/>
    </xf>
    <xf numFmtId="0" fontId="21" fillId="0" borderId="0" xfId="7" applyFont="1" applyAlignment="1">
      <alignment horizontal="center" vertical="center" wrapText="1"/>
    </xf>
    <xf numFmtId="0" fontId="16" fillId="11" borderId="3" xfId="4" applyFont="1" applyFill="1" applyBorder="1" applyAlignment="1">
      <alignment horizontal="center" vertical="center" wrapText="1"/>
    </xf>
    <xf numFmtId="0" fontId="29" fillId="0" borderId="3" xfId="7" applyFont="1" applyBorder="1" applyAlignment="1">
      <alignment horizontal="center" vertical="center" wrapText="1"/>
    </xf>
    <xf numFmtId="0" fontId="29" fillId="0" borderId="0" xfId="7" applyFont="1" applyAlignment="1">
      <alignment horizontal="center" vertical="center" wrapText="1"/>
    </xf>
    <xf numFmtId="0" fontId="21" fillId="0" borderId="37" xfId="11" applyFont="1" applyBorder="1" applyAlignment="1">
      <alignment horizontal="center" vertical="center" wrapText="1"/>
    </xf>
    <xf numFmtId="0" fontId="21" fillId="0" borderId="2" xfId="11" applyFont="1" applyBorder="1" applyAlignment="1">
      <alignment horizontal="center" vertical="center" wrapText="1"/>
    </xf>
    <xf numFmtId="0" fontId="21" fillId="0" borderId="3" xfId="11" applyFont="1" applyBorder="1" applyAlignment="1">
      <alignment horizontal="center" vertical="center" wrapText="1"/>
    </xf>
    <xf numFmtId="0" fontId="29" fillId="0" borderId="3" xfId="3" applyFont="1" applyBorder="1" applyAlignment="1">
      <alignment horizontal="center" vertical="center" wrapText="1"/>
    </xf>
    <xf numFmtId="0" fontId="29" fillId="0" borderId="0" xfId="3" applyFont="1" applyAlignment="1">
      <alignment horizontal="center" vertical="center" wrapText="1"/>
    </xf>
    <xf numFmtId="0" fontId="30" fillId="0" borderId="0" xfId="3" applyFont="1" applyAlignment="1">
      <alignment horizontal="center" vertical="center"/>
    </xf>
    <xf numFmtId="0" fontId="20" fillId="0" borderId="7" xfId="7" applyFont="1" applyBorder="1" applyAlignment="1">
      <alignment horizontal="center" vertical="center"/>
    </xf>
    <xf numFmtId="164" fontId="20" fillId="0" borderId="3" xfId="7" applyNumberFormat="1" applyFont="1" applyBorder="1" applyAlignment="1">
      <alignment horizontal="center" vertical="center"/>
    </xf>
    <xf numFmtId="0" fontId="30" fillId="0" borderId="3" xfId="7" applyFont="1" applyBorder="1" applyAlignment="1">
      <alignment horizontal="center" vertical="center"/>
    </xf>
    <xf numFmtId="1" fontId="20" fillId="0" borderId="3" xfId="12" applyNumberFormat="1" applyFont="1" applyFill="1" applyBorder="1" applyAlignment="1">
      <alignment horizontal="center" vertical="center"/>
    </xf>
    <xf numFmtId="1" fontId="30" fillId="0" borderId="3" xfId="7" applyNumberFormat="1" applyFont="1" applyBorder="1" applyAlignment="1">
      <alignment horizontal="center" vertical="center" wrapText="1"/>
    </xf>
    <xf numFmtId="0" fontId="30" fillId="0" borderId="3" xfId="7" applyFont="1" applyBorder="1" applyAlignment="1">
      <alignment horizontal="center" vertical="center" wrapText="1"/>
    </xf>
    <xf numFmtId="0" fontId="17" fillId="0" borderId="27" xfId="4" applyFont="1" applyBorder="1" applyAlignment="1">
      <alignment horizontal="center" vertical="center" wrapText="1"/>
    </xf>
    <xf numFmtId="43" fontId="17" fillId="0" borderId="3" xfId="1" applyFont="1" applyBorder="1" applyAlignment="1">
      <alignment horizontal="center" vertical="center" wrapText="1"/>
    </xf>
    <xf numFmtId="43" fontId="36" fillId="0" borderId="3" xfId="1" applyFont="1" applyBorder="1" applyAlignment="1">
      <alignment horizontal="center" vertical="center" wrapText="1"/>
    </xf>
    <xf numFmtId="43" fontId="36" fillId="0" borderId="3" xfId="1" applyFont="1" applyBorder="1" applyAlignment="1">
      <alignment horizontal="center" vertical="center"/>
    </xf>
    <xf numFmtId="0" fontId="36" fillId="0" borderId="0" xfId="7" applyFont="1" applyAlignment="1">
      <alignment horizontal="center" vertical="center"/>
    </xf>
    <xf numFmtId="43" fontId="17" fillId="0" borderId="3" xfId="1" applyFont="1" applyFill="1" applyBorder="1" applyAlignment="1">
      <alignment horizontal="center" vertical="center" wrapText="1"/>
    </xf>
    <xf numFmtId="43" fontId="36" fillId="0" borderId="3" xfId="1" applyFont="1" applyFill="1" applyBorder="1" applyAlignment="1">
      <alignment horizontal="center" vertical="center" wrapText="1"/>
    </xf>
    <xf numFmtId="43" fontId="36" fillId="0" borderId="3" xfId="1" applyFont="1" applyFill="1" applyBorder="1" applyAlignment="1">
      <alignment horizontal="center" vertical="center"/>
    </xf>
    <xf numFmtId="165" fontId="36" fillId="0" borderId="0" xfId="7" applyNumberFormat="1" applyFont="1" applyAlignment="1">
      <alignment horizontal="center" vertical="center"/>
    </xf>
    <xf numFmtId="0" fontId="21" fillId="0" borderId="38" xfId="3" applyFont="1" applyBorder="1" applyAlignment="1">
      <alignment horizontal="center" vertical="center"/>
    </xf>
    <xf numFmtId="0" fontId="21" fillId="0" borderId="39" xfId="3" applyFont="1" applyBorder="1" applyAlignment="1">
      <alignment horizontal="center" vertical="center"/>
    </xf>
    <xf numFmtId="0" fontId="21" fillId="0" borderId="40" xfId="3" applyFont="1" applyBorder="1" applyAlignment="1">
      <alignment horizontal="center" vertical="center"/>
    </xf>
    <xf numFmtId="1" fontId="21" fillId="0" borderId="22" xfId="12" applyNumberFormat="1" applyFont="1" applyFill="1" applyBorder="1" applyAlignment="1">
      <alignment horizontal="center" vertical="center"/>
    </xf>
    <xf numFmtId="1" fontId="21" fillId="0" borderId="28" xfId="12" applyNumberFormat="1" applyFont="1" applyFill="1" applyBorder="1" applyAlignment="1">
      <alignment horizontal="center" vertical="center" wrapText="1"/>
    </xf>
    <xf numFmtId="43" fontId="21" fillId="0" borderId="3" xfId="1" applyFont="1" applyFill="1" applyBorder="1" applyAlignment="1">
      <alignment horizontal="center" vertical="center" wrapText="1"/>
    </xf>
    <xf numFmtId="0" fontId="36" fillId="0" borderId="0" xfId="3" applyFont="1" applyAlignment="1">
      <alignment horizontal="center" vertical="center"/>
    </xf>
    <xf numFmtId="0" fontId="21" fillId="0" borderId="24" xfId="11" applyFont="1" applyBorder="1" applyAlignment="1">
      <alignment horizontal="center" vertical="center" wrapText="1"/>
    </xf>
    <xf numFmtId="0" fontId="21" fillId="0" borderId="25" xfId="11" applyFont="1" applyBorder="1" applyAlignment="1">
      <alignment horizontal="center" vertical="center" wrapText="1"/>
    </xf>
    <xf numFmtId="43" fontId="21" fillId="0" borderId="3" xfId="1" applyFont="1" applyBorder="1" applyAlignment="1">
      <alignment horizontal="center" vertical="center" wrapText="1"/>
    </xf>
    <xf numFmtId="1" fontId="36" fillId="0" borderId="0" xfId="3" applyNumberFormat="1" applyFont="1" applyAlignment="1">
      <alignment horizontal="center" vertical="center"/>
    </xf>
    <xf numFmtId="0" fontId="20" fillId="0" borderId="16" xfId="7" applyFont="1" applyBorder="1" applyAlignment="1">
      <alignment horizontal="center" vertical="center"/>
    </xf>
    <xf numFmtId="0" fontId="30" fillId="0" borderId="17" xfId="7" applyFont="1" applyBorder="1" applyAlignment="1">
      <alignment horizontal="center" vertical="center"/>
    </xf>
    <xf numFmtId="1" fontId="20" fillId="0" borderId="17" xfId="12" applyNumberFormat="1" applyFont="1" applyFill="1" applyBorder="1" applyAlignment="1">
      <alignment horizontal="center" vertical="center"/>
    </xf>
    <xf numFmtId="1" fontId="30" fillId="0" borderId="17" xfId="7" applyNumberFormat="1" applyFont="1" applyBorder="1" applyAlignment="1">
      <alignment horizontal="center" vertical="center" wrapText="1"/>
    </xf>
    <xf numFmtId="0" fontId="30" fillId="0" borderId="17" xfId="7" applyFont="1" applyBorder="1" applyAlignment="1">
      <alignment horizontal="center" vertical="center" wrapText="1"/>
    </xf>
    <xf numFmtId="0" fontId="17" fillId="0" borderId="1" xfId="4" applyFont="1" applyBorder="1" applyAlignment="1">
      <alignment horizontal="center" vertical="center" wrapText="1"/>
    </xf>
    <xf numFmtId="0" fontId="37" fillId="0" borderId="3" xfId="7" applyFont="1" applyBorder="1" applyAlignment="1">
      <alignment horizontal="center" vertical="center"/>
    </xf>
    <xf numFmtId="0" fontId="21" fillId="0" borderId="41" xfId="3" applyFont="1" applyBorder="1" applyAlignment="1">
      <alignment horizontal="center" vertical="center"/>
    </xf>
    <xf numFmtId="0" fontId="21" fillId="0" borderId="42" xfId="3" applyFont="1" applyBorder="1" applyAlignment="1">
      <alignment horizontal="center" vertical="center"/>
    </xf>
    <xf numFmtId="0" fontId="21" fillId="0" borderId="43" xfId="3" applyFont="1" applyBorder="1" applyAlignment="1">
      <alignment horizontal="center" vertical="center"/>
    </xf>
    <xf numFmtId="1" fontId="21" fillId="0" borderId="3" xfId="12" applyNumberFormat="1" applyFont="1" applyFill="1" applyBorder="1" applyAlignment="1">
      <alignment horizontal="center" vertical="center"/>
    </xf>
    <xf numFmtId="1" fontId="21" fillId="0" borderId="27" xfId="12" applyNumberFormat="1" applyFont="1" applyFill="1" applyBorder="1" applyAlignment="1">
      <alignment horizontal="center" vertical="center" wrapText="1"/>
    </xf>
    <xf numFmtId="0" fontId="35" fillId="0" borderId="10" xfId="3" applyFont="1" applyBorder="1" applyAlignment="1">
      <alignment horizontal="center" vertical="center"/>
    </xf>
    <xf numFmtId="0" fontId="35" fillId="0" borderId="9" xfId="3" applyFont="1" applyBorder="1" applyAlignment="1">
      <alignment horizontal="center" vertical="center"/>
    </xf>
    <xf numFmtId="165" fontId="35" fillId="0" borderId="9" xfId="13" applyNumberFormat="1" applyFont="1" applyFill="1" applyBorder="1" applyAlignment="1">
      <alignment horizontal="center" vertical="center"/>
    </xf>
    <xf numFmtId="165" fontId="35" fillId="0" borderId="11" xfId="13" applyNumberFormat="1" applyFont="1" applyFill="1" applyBorder="1" applyAlignment="1">
      <alignment horizontal="center" vertical="center"/>
    </xf>
    <xf numFmtId="43" fontId="36" fillId="0" borderId="9" xfId="1" applyFont="1" applyFill="1" applyBorder="1" applyAlignment="1">
      <alignment horizontal="center" vertical="center"/>
    </xf>
    <xf numFmtId="0" fontId="38" fillId="0" borderId="33" xfId="7" applyFont="1" applyBorder="1" applyAlignment="1">
      <alignment horizontal="center" vertical="center"/>
    </xf>
    <xf numFmtId="0" fontId="36" fillId="0" borderId="0" xfId="14" applyFont="1" applyAlignment="1">
      <alignment horizontal="center" vertical="center" wrapText="1"/>
    </xf>
    <xf numFmtId="0" fontId="20" fillId="0" borderId="0" xfId="15" applyFont="1" applyAlignment="1">
      <alignment horizontal="center" vertical="center"/>
    </xf>
    <xf numFmtId="0" fontId="38" fillId="0" borderId="0" xfId="7" applyFont="1" applyAlignment="1">
      <alignment horizontal="center" vertical="center"/>
    </xf>
    <xf numFmtId="0" fontId="35" fillId="4" borderId="16" xfId="11" applyFont="1" applyFill="1" applyBorder="1" applyAlignment="1">
      <alignment horizontal="center" vertical="center" wrapText="1"/>
    </xf>
    <xf numFmtId="0" fontId="35" fillId="4" borderId="17" xfId="11" applyFont="1" applyFill="1" applyBorder="1" applyAlignment="1">
      <alignment horizontal="center" vertical="center" wrapText="1"/>
    </xf>
    <xf numFmtId="0" fontId="35" fillId="4" borderId="15" xfId="11" applyFont="1" applyFill="1" applyBorder="1" applyAlignment="1">
      <alignment horizontal="center" vertical="center" wrapText="1"/>
    </xf>
    <xf numFmtId="0" fontId="35" fillId="4" borderId="36" xfId="11" applyFont="1" applyFill="1" applyBorder="1" applyAlignment="1">
      <alignment horizontal="center" vertical="center" wrapText="1"/>
    </xf>
    <xf numFmtId="0" fontId="16" fillId="4" borderId="17" xfId="4" applyFont="1" applyFill="1" applyBorder="1" applyAlignment="1">
      <alignment horizontal="center" vertical="center" wrapText="1"/>
    </xf>
    <xf numFmtId="0" fontId="16" fillId="4" borderId="1" xfId="4" applyFont="1" applyFill="1" applyBorder="1" applyAlignment="1">
      <alignment horizontal="center" vertical="center" wrapText="1"/>
    </xf>
    <xf numFmtId="0" fontId="35" fillId="4" borderId="10" xfId="11" applyFont="1" applyFill="1" applyBorder="1" applyAlignment="1">
      <alignment horizontal="center" vertical="center" wrapText="1"/>
    </xf>
    <xf numFmtId="0" fontId="35" fillId="4" borderId="9" xfId="11" applyFont="1" applyFill="1" applyBorder="1" applyAlignment="1">
      <alignment horizontal="center" vertical="center" wrapText="1"/>
    </xf>
    <xf numFmtId="0" fontId="35" fillId="4" borderId="9" xfId="11" applyFont="1" applyFill="1" applyBorder="1" applyAlignment="1">
      <alignment horizontal="center" vertical="center" wrapText="1"/>
    </xf>
    <xf numFmtId="0" fontId="16" fillId="4" borderId="9" xfId="4" applyFont="1" applyFill="1" applyBorder="1" applyAlignment="1">
      <alignment horizontal="center" vertical="center" wrapText="1"/>
    </xf>
    <xf numFmtId="0" fontId="16" fillId="4" borderId="32" xfId="4" applyFont="1" applyFill="1" applyBorder="1" applyAlignment="1">
      <alignment horizontal="center" vertical="center" wrapText="1"/>
    </xf>
    <xf numFmtId="0" fontId="29" fillId="11" borderId="4" xfId="7" applyFont="1" applyFill="1" applyBorder="1" applyAlignment="1">
      <alignment horizontal="center" vertical="center"/>
    </xf>
    <xf numFmtId="0" fontId="29" fillId="11" borderId="5" xfId="7" applyFont="1" applyFill="1" applyBorder="1" applyAlignment="1">
      <alignment horizontal="center" vertical="center"/>
    </xf>
    <xf numFmtId="0" fontId="29" fillId="11" borderId="6" xfId="7" applyFont="1" applyFill="1" applyBorder="1" applyAlignment="1">
      <alignment horizontal="center" vertical="center"/>
    </xf>
    <xf numFmtId="0" fontId="29" fillId="11" borderId="7" xfId="10" applyFont="1" applyFill="1" applyBorder="1" applyAlignment="1">
      <alignment horizontal="center" vertical="center"/>
    </xf>
    <xf numFmtId="0" fontId="29" fillId="11" borderId="8" xfId="10" applyFont="1" applyFill="1" applyBorder="1" applyAlignment="1">
      <alignment horizontal="center" vertical="center"/>
    </xf>
    <xf numFmtId="0" fontId="38" fillId="11" borderId="3" xfId="3" applyFont="1" applyFill="1" applyBorder="1" applyAlignment="1">
      <alignment horizontal="center" vertical="center" wrapText="1"/>
    </xf>
    <xf numFmtId="0" fontId="30" fillId="0" borderId="7" xfId="10" applyFont="1" applyBorder="1" applyAlignment="1">
      <alignment horizontal="center" vertical="center"/>
    </xf>
    <xf numFmtId="0" fontId="30" fillId="0" borderId="3" xfId="10" applyFont="1" applyBorder="1" applyAlignment="1">
      <alignment horizontal="center" vertical="center"/>
    </xf>
    <xf numFmtId="0" fontId="38" fillId="0" borderId="3" xfId="3" applyFont="1" applyBorder="1" applyAlignment="1">
      <alignment horizontal="center" vertical="center" wrapText="1"/>
    </xf>
    <xf numFmtId="0" fontId="30" fillId="0" borderId="8" xfId="10" applyFont="1" applyBorder="1" applyAlignment="1">
      <alignment horizontal="center" wrapText="1"/>
    </xf>
    <xf numFmtId="0" fontId="30" fillId="0" borderId="10" xfId="10" applyFont="1" applyBorder="1" applyAlignment="1">
      <alignment horizontal="center" vertical="center"/>
    </xf>
    <xf numFmtId="0" fontId="30" fillId="0" borderId="9" xfId="10" applyFont="1" applyBorder="1" applyAlignment="1">
      <alignment horizontal="center" vertical="center"/>
    </xf>
    <xf numFmtId="0" fontId="38" fillId="0" borderId="9" xfId="3" applyFont="1" applyBorder="1" applyAlignment="1">
      <alignment horizontal="center" vertical="center" wrapText="1"/>
    </xf>
    <xf numFmtId="0" fontId="30" fillId="0" borderId="11" xfId="10" applyFont="1" applyBorder="1" applyAlignment="1">
      <alignment horizontal="center" wrapText="1"/>
    </xf>
    <xf numFmtId="0" fontId="30" fillId="0" borderId="0" xfId="10" applyFont="1" applyAlignment="1">
      <alignment horizontal="center" vertical="center"/>
    </xf>
    <xf numFmtId="0" fontId="38" fillId="0" borderId="0" xfId="3" applyFont="1" applyAlignment="1">
      <alignment horizontal="center" vertical="center" wrapText="1"/>
    </xf>
    <xf numFmtId="0" fontId="30" fillId="0" borderId="0" xfId="10" applyFont="1" applyAlignment="1">
      <alignment horizontal="center" wrapText="1"/>
    </xf>
    <xf numFmtId="0" fontId="29" fillId="4" borderId="3" xfId="10" applyFont="1" applyFill="1" applyBorder="1" applyAlignment="1">
      <alignment horizontal="center" vertical="center"/>
    </xf>
    <xf numFmtId="0" fontId="29" fillId="4" borderId="3" xfId="10" applyFont="1" applyFill="1" applyBorder="1" applyAlignment="1">
      <alignment horizontal="center" vertical="center"/>
    </xf>
    <xf numFmtId="0" fontId="29" fillId="4" borderId="3" xfId="10" applyFont="1" applyFill="1" applyBorder="1" applyAlignment="1">
      <alignment horizontal="center" vertical="center" wrapText="1"/>
    </xf>
    <xf numFmtId="0" fontId="25" fillId="11" borderId="4" xfId="3" applyFont="1" applyFill="1" applyBorder="1" applyAlignment="1">
      <alignment horizontal="center" vertical="center"/>
    </xf>
    <xf numFmtId="0" fontId="25" fillId="11" borderId="5" xfId="3" applyFont="1" applyFill="1" applyBorder="1" applyAlignment="1">
      <alignment horizontal="center" vertical="center"/>
    </xf>
    <xf numFmtId="0" fontId="25" fillId="11" borderId="6" xfId="3" applyFont="1" applyFill="1" applyBorder="1" applyAlignment="1">
      <alignment horizontal="center" vertical="center"/>
    </xf>
  </cellXfs>
  <cellStyles count="16">
    <cellStyle name="Comma" xfId="1" builtinId="3"/>
    <cellStyle name="Comma 10 2" xfId="8" xr:uid="{D28ED8BD-B164-45B5-8682-B83892B07F19}"/>
    <cellStyle name="Comma 10 2 2" xfId="12" xr:uid="{9C4B942B-CE96-41FA-84A8-3382F0A5905B}"/>
    <cellStyle name="Comma 2" xfId="13" xr:uid="{E58321E5-463C-4DAF-9CED-96F5B3C40BF7}"/>
    <cellStyle name="Comma 4" xfId="5" xr:uid="{26CFF54C-B20E-41AF-89D4-241AFE1A7A48}"/>
    <cellStyle name="Hyperlink" xfId="2" builtinId="8"/>
    <cellStyle name="Normal" xfId="0" builtinId="0"/>
    <cellStyle name="Normal 2" xfId="3" xr:uid="{D24A6349-DD51-4EAB-83E6-09D40BA682D4}"/>
    <cellStyle name="Normal 2 2" xfId="6" xr:uid="{64753381-188F-4FBD-8B9C-2EE7F1B7674E}"/>
    <cellStyle name="Normal 2 3" xfId="7" xr:uid="{B13FF5CF-D5C9-4074-9C50-92D575F1A38A}"/>
    <cellStyle name="Normal 2 3 2" xfId="11" xr:uid="{AFC6AF25-616D-4016-8AD0-5D101599D500}"/>
    <cellStyle name="Normal 2 4" xfId="15" xr:uid="{8917341A-CC25-4869-A1DD-9E939B62D2D7}"/>
    <cellStyle name="Normal 3" xfId="10" xr:uid="{BDE79685-471C-43E0-A89A-01913222B822}"/>
    <cellStyle name="Normal 3 2 3" xfId="9" xr:uid="{33EB80B1-F392-4AD5-AC01-BCA7F292CC39}"/>
    <cellStyle name="Normal 5" xfId="4" xr:uid="{463634E6-131F-4B1F-BFDD-6CF4E89A5176}"/>
    <cellStyle name="Normal 7" xfId="14" xr:uid="{8B353F21-40A7-410B-B562-F02343C939CB}"/>
  </cellStyles>
  <dxfs count="1">
    <dxf>
      <font>
        <color rgb="FF9C0006"/>
      </font>
      <fill>
        <patternFill>
          <bgColor rgb="FFFFC7CE"/>
        </patternFill>
      </fill>
    </dxf>
  </dxfs>
  <tableStyles count="0" defaultTableStyle="TableStyleMedium2" defaultPivotStyle="PivotStyleLight16"/>
  <colors>
    <mruColors>
      <color rgb="FFFFF1C5"/>
      <color rgb="FFCCCCFF"/>
      <color rgb="FFCCECFF"/>
      <color rgb="FFCCFFCC"/>
      <color rgb="FF9FF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124695</xdr:colOff>
      <xdr:row>21</xdr:row>
      <xdr:rowOff>175923</xdr:rowOff>
    </xdr:from>
    <xdr:to>
      <xdr:col>9</xdr:col>
      <xdr:colOff>165682</xdr:colOff>
      <xdr:row>25</xdr:row>
      <xdr:rowOff>169693</xdr:rowOff>
    </xdr:to>
    <xdr:sp macro="" textlink="">
      <xdr:nvSpPr>
        <xdr:cNvPr id="2" name="Text Box 3080">
          <a:extLst>
            <a:ext uri="{FF2B5EF4-FFF2-40B4-BE49-F238E27FC236}">
              <a16:creationId xmlns:a16="http://schemas.microsoft.com/office/drawing/2014/main" id="{3C0A9266-4C14-4C45-9424-5780EAC2A383}"/>
            </a:ext>
          </a:extLst>
        </xdr:cNvPr>
        <xdr:cNvSpPr txBox="1">
          <a:spLocks/>
        </xdr:cNvSpPr>
      </xdr:nvSpPr>
      <xdr:spPr>
        <a:xfrm>
          <a:off x="124695" y="4190970"/>
          <a:ext cx="6026151" cy="758541"/>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spAutoFit/>
        </a:bodyPr>
        <a:lstStyle/>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Annexure C3</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Bill</a:t>
          </a:r>
          <a:r>
            <a:rPr lang="en-IN" sz="2400" b="1" kern="100" baseline="0">
              <a:solidFill>
                <a:srgbClr val="01366C"/>
              </a:solidFill>
              <a:effectLst/>
              <a:latin typeface="Poppins" panose="00000500000000000000" pitchFamily="2" charset="0"/>
              <a:ea typeface="Adobe Gothic Std B"/>
              <a:cs typeface="Calibri" panose="020F0502020204030204" pitchFamily="34" charset="0"/>
            </a:rPr>
            <a:t> Of Quantities (BOQ)</a:t>
          </a:r>
          <a:r>
            <a:rPr lang="en-IN" sz="2400" b="1" kern="100">
              <a:solidFill>
                <a:srgbClr val="01366C"/>
              </a:solidFill>
              <a:effectLst/>
              <a:latin typeface="Poppins" panose="00000500000000000000" pitchFamily="2" charset="0"/>
              <a:ea typeface="Adobe Gothic Std B"/>
              <a:cs typeface="Calibri" panose="020F0502020204030204" pitchFamily="34" charset="0"/>
            </a:rPr>
            <a:t> </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7</xdr:col>
      <xdr:colOff>743</xdr:colOff>
      <xdr:row>2</xdr:row>
      <xdr:rowOff>99762</xdr:rowOff>
    </xdr:from>
    <xdr:to>
      <xdr:col>9</xdr:col>
      <xdr:colOff>51830</xdr:colOff>
      <xdr:row>5</xdr:row>
      <xdr:rowOff>165571</xdr:rowOff>
    </xdr:to>
    <xdr:pic>
      <xdr:nvPicPr>
        <xdr:cNvPr id="3" name="Picture 2" descr="A blue and orange logo&#10;&#10;AI-generated content may be incorrect.">
          <a:extLst>
            <a:ext uri="{FF2B5EF4-FFF2-40B4-BE49-F238E27FC236}">
              <a16:creationId xmlns:a16="http://schemas.microsoft.com/office/drawing/2014/main" id="{E4DB1AAD-4588-4335-A51A-7270F11B4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5870" y="482147"/>
          <a:ext cx="1381124" cy="639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773904</xdr:colOff>
      <xdr:row>161</xdr:row>
      <xdr:rowOff>42332</xdr:rowOff>
    </xdr:from>
    <xdr:to>
      <xdr:col>20</xdr:col>
      <xdr:colOff>255320</xdr:colOff>
      <xdr:row>164</xdr:row>
      <xdr:rowOff>67731</xdr:rowOff>
    </xdr:to>
    <xdr:sp macro="" textlink="">
      <xdr:nvSpPr>
        <xdr:cNvPr id="3" name="TextBox 2">
          <a:extLst>
            <a:ext uri="{FF2B5EF4-FFF2-40B4-BE49-F238E27FC236}">
              <a16:creationId xmlns:a16="http://schemas.microsoft.com/office/drawing/2014/main" id="{1B54D374-8DE9-4D91-AB68-1917514FD2A8}"/>
            </a:ext>
          </a:extLst>
        </xdr:cNvPr>
        <xdr:cNvSpPr txBox="1"/>
      </xdr:nvSpPr>
      <xdr:spPr>
        <a:xfrm>
          <a:off x="13708507" y="43418143"/>
          <a:ext cx="3513089" cy="74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Project</a:t>
          </a:r>
          <a:r>
            <a:rPr lang="en-IN" sz="1100" baseline="0"/>
            <a:t> Manager</a:t>
          </a:r>
          <a:endParaRPr lang="en-IN" sz="1100"/>
        </a:p>
        <a:p>
          <a:pPr algn="ctr"/>
          <a:r>
            <a:rPr lang="en-IN" sz="1100"/>
            <a:t>NHIPMPL</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iimpl1-my.sharepoint.com/personal/dcinvit_nhit_co_in/Documents/# OFFICIAL/# InvIT/# Open Procurement Bidding/RFP - Pavement Rectification PA-ABU NWPPL 050326/Annexure C3 BOQ_F - PA ABU Pavement Rectification NWPPL-09032026.xlsx" TargetMode="External"/><Relationship Id="rId2" Type="http://schemas.microsoft.com/office/2019/04/relationships/externalLinkLongPath" Target=".# OFFICIAL/# InvIT/# Open Procurement Bidding/RFP - Pavement Rectification PA-ABU NWPPL 050326/Annexure C3 BOQ_F - PA ABU Pavement Rectification NWPPL-09032026.xlsx?AAACD6B4" TargetMode="External"/><Relationship Id="rId1" Type="http://schemas.openxmlformats.org/officeDocument/2006/relationships/externalLinkPath" Target="file:///\\AAACD6B4\Annexure%20C3%20BOQ_F%20-%20PA%20ABU%20Pavement%20Rectification%20NWPPL-0903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jeev\AppData\Local\Microsoft\Windows\INetCache\Content.Outlook\OURPTOHB\BOQ+2C+Service+Road29%20PR%20-%20Feb-70%20(002).xlsx" TargetMode="External"/><Relationship Id="rId1" Type="http://schemas.openxmlformats.org/officeDocument/2006/relationships/externalLinkPath" Target="file:///C:\Users\Sanjeev\AppData\Local\Microsoft\Windows\INetCache\Content.Outlook\OURPTOHB\BOQ+2C+Service+Road29%20PR%20-%20Feb-7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1"/>
      <sheetName val="BOQ "/>
      <sheetName val="M_sheet (Rutting GJ)"/>
    </sheetNames>
    <sheetDataSet>
      <sheetData sheetId="0"/>
      <sheetData sheetId="1"/>
      <sheetData sheetId="2">
        <row r="80">
          <cell r="I80">
            <v>17929.000000000407</v>
          </cell>
          <cell r="J80">
            <v>717.16000000001623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Q "/>
      <sheetName val="BOQ(Road work)"/>
      <sheetName val="SR Flexible Pavement"/>
      <sheetName val="Junctions"/>
      <sheetName val="Line drain"/>
      <sheetName val="Rain Water Harvesting"/>
    </sheetNames>
    <sheetDataSet>
      <sheetData sheetId="0"/>
      <sheetData sheetId="1"/>
      <sheetData sheetId="2">
        <row r="20">
          <cell r="J20">
            <v>913.5</v>
          </cell>
          <cell r="K20">
            <v>913.5</v>
          </cell>
          <cell r="L20">
            <v>45.674999999999997</v>
          </cell>
          <cell r="M20">
            <v>3678.5</v>
          </cell>
          <cell r="N20">
            <v>113.43374</v>
          </cell>
        </row>
      </sheetData>
      <sheetData sheetId="3">
        <row r="8">
          <cell r="K8">
            <v>450</v>
          </cell>
          <cell r="L8">
            <v>225</v>
          </cell>
          <cell r="M8">
            <v>225</v>
          </cell>
          <cell r="N8">
            <v>90</v>
          </cell>
          <cell r="O8">
            <v>450</v>
          </cell>
          <cell r="P8">
            <v>112.5</v>
          </cell>
          <cell r="Q8">
            <v>1350</v>
          </cell>
          <cell r="R8">
            <v>67.5</v>
          </cell>
          <cell r="S8">
            <v>54</v>
          </cell>
        </row>
      </sheetData>
      <sheetData sheetId="4">
        <row r="22">
          <cell r="P22">
            <v>756.04199999999992</v>
          </cell>
          <cell r="Q22">
            <v>75.599999999999994</v>
          </cell>
          <cell r="R22">
            <v>100.44</v>
          </cell>
          <cell r="S22">
            <v>56.164800000000007</v>
          </cell>
          <cell r="T22">
            <v>66.960000000000008</v>
          </cell>
          <cell r="U22">
            <v>11.178240000000001</v>
          </cell>
          <cell r="V22">
            <v>432</v>
          </cell>
          <cell r="W22">
            <v>280.82400000000001</v>
          </cell>
        </row>
      </sheetData>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ST@18%25%20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ST@18%25%20R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EA1B-E3F1-4CFD-BA24-36CF60C8AEE1}">
  <dimension ref="A1"/>
  <sheetViews>
    <sheetView tabSelected="1" view="pageBreakPreview" zoomScaleNormal="100" zoomScaleSheetLayoutView="100" workbookViewId="0">
      <selection activeCell="I22" sqref="I22"/>
    </sheetView>
  </sheetViews>
  <sheetFormatPr defaultRowHeight="15.05" x14ac:dyDescent="0.3"/>
  <cols>
    <col min="10" max="10" width="4.109375" customWidth="1"/>
  </cols>
  <sheetData/>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7D1D-CB37-43CB-9E29-3EC34CF865F7}">
  <dimension ref="A1:G7"/>
  <sheetViews>
    <sheetView view="pageBreakPreview" zoomScale="130" zoomScaleNormal="100" zoomScaleSheetLayoutView="130" workbookViewId="0">
      <selection sqref="A1:F1"/>
    </sheetView>
  </sheetViews>
  <sheetFormatPr defaultRowHeight="15.05" x14ac:dyDescent="0.3"/>
  <cols>
    <col min="1" max="1" width="6.88671875" bestFit="1" customWidth="1"/>
    <col min="2" max="2" width="36.44140625" customWidth="1"/>
    <col min="3" max="3" width="9.44140625" bestFit="1" customWidth="1"/>
    <col min="4" max="4" width="12.21875" customWidth="1"/>
    <col min="5" max="5" width="15.77734375" customWidth="1"/>
    <col min="6" max="6" width="28.88671875" bestFit="1" customWidth="1"/>
  </cols>
  <sheetData>
    <row r="1" spans="1:7" ht="19" x14ac:dyDescent="0.6">
      <c r="A1" s="308" t="s">
        <v>100</v>
      </c>
      <c r="B1" s="309"/>
      <c r="C1" s="309"/>
      <c r="D1" s="309"/>
      <c r="E1" s="309"/>
      <c r="F1" s="310"/>
      <c r="G1" s="206"/>
    </row>
    <row r="2" spans="1:7" ht="19" x14ac:dyDescent="0.6">
      <c r="A2" s="311" t="s">
        <v>158</v>
      </c>
      <c r="B2" s="205"/>
      <c r="C2" s="205"/>
      <c r="D2" s="205"/>
      <c r="E2" s="205"/>
      <c r="F2" s="312"/>
      <c r="G2" s="206"/>
    </row>
    <row r="3" spans="1:7" ht="19" x14ac:dyDescent="0.6">
      <c r="A3" s="311" t="s">
        <v>102</v>
      </c>
      <c r="B3" s="205" t="s">
        <v>103</v>
      </c>
      <c r="C3" s="205" t="s">
        <v>104</v>
      </c>
      <c r="D3" s="205" t="s">
        <v>4</v>
      </c>
      <c r="E3" s="313" t="s">
        <v>159</v>
      </c>
      <c r="F3" s="312" t="s">
        <v>160</v>
      </c>
      <c r="G3" s="206"/>
    </row>
    <row r="4" spans="1:7" ht="19" x14ac:dyDescent="0.6">
      <c r="A4" s="311"/>
      <c r="B4" s="205"/>
      <c r="C4" s="205"/>
      <c r="D4" s="205"/>
      <c r="E4" s="313" t="s">
        <v>107</v>
      </c>
      <c r="F4" s="312"/>
      <c r="G4" s="206"/>
    </row>
    <row r="5" spans="1:7" ht="38" x14ac:dyDescent="0.6">
      <c r="A5" s="314">
        <v>1</v>
      </c>
      <c r="B5" s="315" t="s">
        <v>158</v>
      </c>
      <c r="C5" s="315" t="s">
        <v>161</v>
      </c>
      <c r="D5" s="315" t="s">
        <v>15</v>
      </c>
      <c r="E5" s="316">
        <v>1</v>
      </c>
      <c r="F5" s="317" t="s">
        <v>119</v>
      </c>
      <c r="G5" s="206"/>
    </row>
    <row r="6" spans="1:7" ht="19.649999999999999" thickBot="1" x14ac:dyDescent="0.65">
      <c r="A6" s="318"/>
      <c r="B6" s="319"/>
      <c r="C6" s="319"/>
      <c r="D6" s="319" t="s">
        <v>162</v>
      </c>
      <c r="E6" s="320">
        <f>SUM(E5)</f>
        <v>1</v>
      </c>
      <c r="F6" s="321"/>
      <c r="G6" s="206"/>
    </row>
    <row r="7" spans="1:7" ht="19" x14ac:dyDescent="0.6">
      <c r="A7" s="322"/>
      <c r="B7" s="322"/>
      <c r="C7" s="322"/>
      <c r="D7" s="322"/>
      <c r="E7" s="323"/>
      <c r="F7" s="324"/>
      <c r="G7" s="206"/>
    </row>
  </sheetData>
  <mergeCells count="7">
    <mergeCell ref="A1:F1"/>
    <mergeCell ref="A2:F2"/>
    <mergeCell ref="A3:A4"/>
    <mergeCell ref="B3:B4"/>
    <mergeCell ref="C3:C4"/>
    <mergeCell ref="D3:D4"/>
    <mergeCell ref="F3:F4"/>
  </mergeCells>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3FDB-C7FF-41D9-8D90-8B7B750F256A}">
  <sheetPr>
    <pageSetUpPr fitToPage="1"/>
  </sheetPr>
  <dimension ref="A1:I16"/>
  <sheetViews>
    <sheetView view="pageBreakPreview" zoomScaleNormal="70"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77734375" defaultRowHeight="14.4" x14ac:dyDescent="0.3"/>
  <cols>
    <col min="1" max="1" width="9" style="17" bestFit="1" customWidth="1"/>
    <col min="2" max="2" width="60.77734375" style="17" customWidth="1"/>
    <col min="3" max="4" width="11.21875" style="17" customWidth="1"/>
    <col min="5" max="5" width="13.88671875" style="21" customWidth="1"/>
    <col min="6" max="6" width="15.77734375" style="17" customWidth="1"/>
    <col min="7" max="7" width="9.109375" style="17" bestFit="1" customWidth="1"/>
    <col min="8" max="8" width="13.109375" style="17" customWidth="1"/>
    <col min="9" max="9" width="14.88671875" style="21" customWidth="1"/>
    <col min="10" max="16384" width="8.77734375" style="17"/>
  </cols>
  <sheetData>
    <row r="1" spans="1:8" ht="17.7" x14ac:dyDescent="0.3">
      <c r="A1" s="73" t="s">
        <v>31</v>
      </c>
      <c r="B1" s="73"/>
      <c r="C1" s="73"/>
      <c r="D1" s="73"/>
      <c r="E1" s="73"/>
      <c r="F1" s="73"/>
      <c r="G1" s="73"/>
    </row>
    <row r="2" spans="1:8" ht="17.7" x14ac:dyDescent="0.3">
      <c r="A2" s="73" t="s">
        <v>17</v>
      </c>
      <c r="B2" s="73"/>
      <c r="C2" s="73"/>
      <c r="D2" s="73"/>
      <c r="E2" s="73"/>
      <c r="F2" s="73"/>
      <c r="G2" s="73"/>
    </row>
    <row r="3" spans="1:8" x14ac:dyDescent="0.3">
      <c r="A3" s="27" t="s">
        <v>18</v>
      </c>
      <c r="B3" s="27" t="s">
        <v>19</v>
      </c>
      <c r="C3" s="27" t="s">
        <v>20</v>
      </c>
      <c r="D3" s="27" t="s">
        <v>21</v>
      </c>
      <c r="E3" s="28" t="s">
        <v>22</v>
      </c>
      <c r="F3" s="29" t="s">
        <v>23</v>
      </c>
      <c r="G3" s="27" t="s">
        <v>24</v>
      </c>
    </row>
    <row r="4" spans="1:8" ht="187.2" x14ac:dyDescent="0.3">
      <c r="A4" s="18">
        <v>1</v>
      </c>
      <c r="B4" s="30" t="s">
        <v>37</v>
      </c>
      <c r="C4" s="18" t="s">
        <v>25</v>
      </c>
      <c r="D4" s="18">
        <v>45</v>
      </c>
      <c r="E4" s="19"/>
      <c r="F4" s="20"/>
      <c r="G4" s="18"/>
    </row>
    <row r="5" spans="1:8" ht="223.85" customHeight="1" x14ac:dyDescent="0.3">
      <c r="A5" s="18">
        <v>2</v>
      </c>
      <c r="B5" s="31" t="s">
        <v>38</v>
      </c>
      <c r="C5" s="22" t="s">
        <v>26</v>
      </c>
      <c r="D5" s="23">
        <v>20</v>
      </c>
      <c r="E5" s="19"/>
      <c r="F5" s="20"/>
      <c r="G5" s="24"/>
      <c r="H5" s="21"/>
    </row>
    <row r="6" spans="1:8" ht="275.10000000000002" customHeight="1" x14ac:dyDescent="0.3">
      <c r="A6" s="18">
        <v>3</v>
      </c>
      <c r="B6" s="32" t="s">
        <v>39</v>
      </c>
      <c r="C6" s="25" t="s">
        <v>27</v>
      </c>
      <c r="D6" s="18">
        <v>9013.68</v>
      </c>
      <c r="E6" s="19"/>
      <c r="F6" s="20"/>
      <c r="G6" s="24"/>
      <c r="H6" s="21"/>
    </row>
    <row r="7" spans="1:8" x14ac:dyDescent="0.3">
      <c r="A7" s="26"/>
      <c r="B7" s="33" t="s">
        <v>28</v>
      </c>
      <c r="C7" s="33"/>
      <c r="D7" s="33"/>
      <c r="E7" s="34"/>
      <c r="F7" s="35">
        <f>SUM(F4:F6)</f>
        <v>0</v>
      </c>
      <c r="G7" s="26"/>
    </row>
    <row r="8" spans="1:8" x14ac:dyDescent="0.3">
      <c r="A8" s="26"/>
      <c r="B8" s="36" t="s">
        <v>29</v>
      </c>
      <c r="C8" s="33"/>
      <c r="D8" s="33"/>
      <c r="E8" s="34"/>
      <c r="F8" s="35">
        <f>F7*18%</f>
        <v>0</v>
      </c>
      <c r="G8" s="26"/>
    </row>
    <row r="9" spans="1:8" x14ac:dyDescent="0.3">
      <c r="A9" s="26"/>
      <c r="B9" s="33" t="s">
        <v>30</v>
      </c>
      <c r="C9" s="33"/>
      <c r="D9" s="33"/>
      <c r="E9" s="34"/>
      <c r="F9" s="35">
        <f>F7+F8</f>
        <v>0</v>
      </c>
      <c r="G9" s="26"/>
    </row>
    <row r="12" spans="1:8" ht="15.05" x14ac:dyDescent="0.3">
      <c r="A12" s="74" t="s">
        <v>35</v>
      </c>
      <c r="B12" s="74"/>
      <c r="C12" s="74"/>
      <c r="D12" s="74"/>
      <c r="E12" s="74"/>
      <c r="F12" s="74"/>
      <c r="G12" s="74"/>
    </row>
    <row r="13" spans="1:8" ht="15.05" x14ac:dyDescent="0.3">
      <c r="A13" s="38"/>
      <c r="B13" s="37"/>
      <c r="C13" s="37"/>
      <c r="D13" s="37"/>
      <c r="E13" s="37"/>
      <c r="F13" s="39"/>
      <c r="G13" s="40"/>
    </row>
    <row r="14" spans="1:8" x14ac:dyDescent="0.3">
      <c r="A14" s="75" t="s">
        <v>36</v>
      </c>
      <c r="B14" s="75"/>
      <c r="C14" s="75"/>
      <c r="D14" s="75"/>
      <c r="E14" s="75"/>
      <c r="F14" s="75"/>
      <c r="G14" s="75"/>
    </row>
    <row r="15" spans="1:8" x14ac:dyDescent="0.3">
      <c r="A15" s="75"/>
      <c r="B15" s="75"/>
      <c r="C15" s="75"/>
      <c r="D15" s="75"/>
      <c r="E15" s="75"/>
      <c r="F15" s="75"/>
      <c r="G15" s="75"/>
    </row>
    <row r="16" spans="1:8" x14ac:dyDescent="0.3">
      <c r="A16" s="75"/>
      <c r="B16" s="75"/>
      <c r="C16" s="75"/>
      <c r="D16" s="75"/>
      <c r="E16" s="75"/>
      <c r="F16" s="75"/>
      <c r="G16" s="75"/>
    </row>
  </sheetData>
  <mergeCells count="4">
    <mergeCell ref="A1:G1"/>
    <mergeCell ref="A2:G2"/>
    <mergeCell ref="A12:G12"/>
    <mergeCell ref="A14:G16"/>
  </mergeCells>
  <hyperlinks>
    <hyperlink ref="B8" r:id="rId1" xr:uid="{4AD4601C-EE7B-4EDB-AD6D-8B5CF98FD5B0}"/>
  </hyperlinks>
  <pageMargins left="0.70866141732283472" right="0.70866141732283472" top="0.74803149606299213" bottom="0.74803149606299213" header="0.31496062992125984" footer="0.31496062992125984"/>
  <pageSetup paperSize="9" scale="99" fitToHeight="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AE1B-2DA4-4D5E-B42E-6E2BA6B6DDDD}">
  <sheetPr>
    <pageSetUpPr fitToPage="1"/>
  </sheetPr>
  <dimension ref="A1:O41"/>
  <sheetViews>
    <sheetView view="pageBreakPreview" zoomScale="110" zoomScaleNormal="110" zoomScaleSheetLayoutView="110" workbookViewId="0">
      <pane xSplit="3" ySplit="2" topLeftCell="D3" activePane="bottomRight" state="frozen"/>
      <selection pane="topRight" activeCell="D1" sqref="D1"/>
      <selection pane="bottomLeft" activeCell="A3" sqref="A3"/>
      <selection pane="bottomRight" activeCell="D3" sqref="D3"/>
    </sheetView>
  </sheetViews>
  <sheetFormatPr defaultColWidth="8.77734375" defaultRowHeight="16.399999999999999" x14ac:dyDescent="0.55000000000000004"/>
  <cols>
    <col min="1" max="1" width="4.44140625" style="11" bestFit="1" customWidth="1"/>
    <col min="2" max="2" width="10" style="11" customWidth="1"/>
    <col min="3" max="3" width="9.88671875" style="11" customWidth="1"/>
    <col min="4" max="4" width="7.88671875" style="11" customWidth="1"/>
    <col min="5" max="5" width="10.88671875" style="11" customWidth="1"/>
    <col min="6" max="6" width="9.88671875" style="11" customWidth="1"/>
    <col min="7" max="7" width="8.5546875" style="11" customWidth="1"/>
    <col min="8" max="8" width="8.77734375" style="11" customWidth="1"/>
    <col min="9" max="9" width="11.77734375" style="11" customWidth="1"/>
    <col min="10" max="10" width="11.88671875" style="11" customWidth="1"/>
    <col min="11" max="11" width="13" style="11" customWidth="1"/>
    <col min="12" max="12" width="10.88671875" style="11" customWidth="1"/>
    <col min="13" max="13" width="10.5546875" style="13" bestFit="1" customWidth="1"/>
    <col min="14" max="16384" width="8.77734375" style="1"/>
  </cols>
  <sheetData>
    <row r="1" spans="1:15" x14ac:dyDescent="0.55000000000000004">
      <c r="A1" s="76" t="s">
        <v>0</v>
      </c>
      <c r="B1" s="77"/>
      <c r="C1" s="77"/>
      <c r="D1" s="77"/>
      <c r="E1" s="77"/>
      <c r="F1" s="77"/>
      <c r="G1" s="77"/>
      <c r="H1" s="77"/>
      <c r="I1" s="77"/>
      <c r="J1" s="77"/>
      <c r="K1" s="77"/>
      <c r="L1" s="77"/>
    </row>
    <row r="2" spans="1:15" ht="32.75" x14ac:dyDescent="0.55000000000000004">
      <c r="A2" s="15" t="s">
        <v>1</v>
      </c>
      <c r="B2" s="15" t="s">
        <v>2</v>
      </c>
      <c r="C2" s="15" t="s">
        <v>3</v>
      </c>
      <c r="D2" s="15" t="s">
        <v>4</v>
      </c>
      <c r="E2" s="15" t="s">
        <v>5</v>
      </c>
      <c r="F2" s="15" t="s">
        <v>6</v>
      </c>
      <c r="G2" s="15" t="s">
        <v>7</v>
      </c>
      <c r="H2" s="15" t="s">
        <v>8</v>
      </c>
      <c r="I2" s="16" t="s">
        <v>32</v>
      </c>
      <c r="J2" s="16" t="s">
        <v>33</v>
      </c>
      <c r="K2" s="15" t="s">
        <v>34</v>
      </c>
      <c r="L2" s="15" t="s">
        <v>9</v>
      </c>
    </row>
    <row r="3" spans="1:15" s="7" customFormat="1" x14ac:dyDescent="0.55000000000000004">
      <c r="A3" s="2">
        <v>32</v>
      </c>
      <c r="B3" s="3">
        <v>646200</v>
      </c>
      <c r="C3" s="3">
        <v>646300</v>
      </c>
      <c r="D3" s="4" t="s">
        <v>10</v>
      </c>
      <c r="E3" s="2" t="s">
        <v>11</v>
      </c>
      <c r="F3" s="5">
        <f t="shared" ref="F3:F27" si="0">(C3-B3)</f>
        <v>100</v>
      </c>
      <c r="G3" s="6">
        <v>3.5</v>
      </c>
      <c r="H3" s="5">
        <v>0.04</v>
      </c>
      <c r="I3" s="2">
        <f t="shared" ref="I3:I27" si="1">F3*G3</f>
        <v>350</v>
      </c>
      <c r="J3" s="2">
        <f>I3</f>
        <v>350</v>
      </c>
      <c r="K3" s="6">
        <f t="shared" ref="K3:K27" si="2">H3*I3</f>
        <v>14</v>
      </c>
      <c r="L3" s="2" t="s">
        <v>12</v>
      </c>
      <c r="M3" s="14"/>
      <c r="N3" s="1"/>
      <c r="O3" s="1"/>
    </row>
    <row r="4" spans="1:15" s="7" customFormat="1" x14ac:dyDescent="0.55000000000000004">
      <c r="A4" s="2">
        <v>33</v>
      </c>
      <c r="B4" s="3">
        <v>646300</v>
      </c>
      <c r="C4" s="3">
        <v>646400</v>
      </c>
      <c r="D4" s="4" t="s">
        <v>10</v>
      </c>
      <c r="E4" s="2" t="s">
        <v>11</v>
      </c>
      <c r="F4" s="5">
        <f t="shared" si="0"/>
        <v>100</v>
      </c>
      <c r="G4" s="6">
        <v>3.5</v>
      </c>
      <c r="H4" s="5">
        <v>0.04</v>
      </c>
      <c r="I4" s="2">
        <f t="shared" si="1"/>
        <v>350</v>
      </c>
      <c r="J4" s="2">
        <f t="shared" ref="J4:J40" si="3">I4</f>
        <v>350</v>
      </c>
      <c r="K4" s="6">
        <f t="shared" si="2"/>
        <v>14</v>
      </c>
      <c r="L4" s="2" t="s">
        <v>12</v>
      </c>
      <c r="M4" s="14"/>
      <c r="N4" s="1"/>
      <c r="O4" s="1"/>
    </row>
    <row r="5" spans="1:15" s="7" customFormat="1" x14ac:dyDescent="0.55000000000000004">
      <c r="A5" s="2">
        <v>34</v>
      </c>
      <c r="B5" s="3">
        <v>646400</v>
      </c>
      <c r="C5" s="3">
        <v>646450</v>
      </c>
      <c r="D5" s="4" t="s">
        <v>10</v>
      </c>
      <c r="E5" s="2" t="s">
        <v>13</v>
      </c>
      <c r="F5" s="5">
        <f t="shared" si="0"/>
        <v>50</v>
      </c>
      <c r="G5" s="6">
        <v>3.5</v>
      </c>
      <c r="H5" s="5">
        <v>0.04</v>
      </c>
      <c r="I5" s="2">
        <f t="shared" si="1"/>
        <v>175</v>
      </c>
      <c r="J5" s="2">
        <f t="shared" si="3"/>
        <v>175</v>
      </c>
      <c r="K5" s="6">
        <f t="shared" si="2"/>
        <v>7</v>
      </c>
      <c r="L5" s="2" t="s">
        <v>12</v>
      </c>
      <c r="M5" s="14"/>
      <c r="N5" s="1"/>
      <c r="O5" s="1"/>
    </row>
    <row r="6" spans="1:15" s="7" customFormat="1" x14ac:dyDescent="0.55000000000000004">
      <c r="A6" s="2">
        <v>35</v>
      </c>
      <c r="B6" s="3">
        <v>651570</v>
      </c>
      <c r="C6" s="3">
        <v>651590</v>
      </c>
      <c r="D6" s="4" t="s">
        <v>10</v>
      </c>
      <c r="E6" s="2" t="s">
        <v>11</v>
      </c>
      <c r="F6" s="5">
        <f t="shared" si="0"/>
        <v>20</v>
      </c>
      <c r="G6" s="6">
        <v>3.5</v>
      </c>
      <c r="H6" s="5">
        <v>0.04</v>
      </c>
      <c r="I6" s="2">
        <f t="shared" si="1"/>
        <v>70</v>
      </c>
      <c r="J6" s="2">
        <f t="shared" si="3"/>
        <v>70</v>
      </c>
      <c r="K6" s="6">
        <f t="shared" si="2"/>
        <v>2.8000000000000003</v>
      </c>
      <c r="L6" s="2" t="s">
        <v>12</v>
      </c>
      <c r="M6" s="14"/>
      <c r="N6" s="1"/>
      <c r="O6" s="1"/>
    </row>
    <row r="7" spans="1:15" s="7" customFormat="1" x14ac:dyDescent="0.55000000000000004">
      <c r="A7" s="2">
        <v>36</v>
      </c>
      <c r="B7" s="3">
        <v>655560</v>
      </c>
      <c r="C7" s="3">
        <v>655575</v>
      </c>
      <c r="D7" s="4" t="s">
        <v>10</v>
      </c>
      <c r="E7" s="2" t="s">
        <v>14</v>
      </c>
      <c r="F7" s="5">
        <f t="shared" si="0"/>
        <v>15</v>
      </c>
      <c r="G7" s="6">
        <v>3.5</v>
      </c>
      <c r="H7" s="5">
        <v>0.04</v>
      </c>
      <c r="I7" s="2">
        <f t="shared" si="1"/>
        <v>52.5</v>
      </c>
      <c r="J7" s="2">
        <f t="shared" si="3"/>
        <v>52.5</v>
      </c>
      <c r="K7" s="6">
        <f t="shared" si="2"/>
        <v>2.1</v>
      </c>
      <c r="L7" s="2" t="s">
        <v>12</v>
      </c>
      <c r="M7" s="14"/>
      <c r="N7" s="1"/>
      <c r="O7" s="1"/>
    </row>
    <row r="8" spans="1:15" s="7" customFormat="1" x14ac:dyDescent="0.55000000000000004">
      <c r="A8" s="2">
        <v>37</v>
      </c>
      <c r="B8" s="3">
        <v>655950</v>
      </c>
      <c r="C8" s="3">
        <v>655980</v>
      </c>
      <c r="D8" s="4" t="s">
        <v>10</v>
      </c>
      <c r="E8" s="2" t="s">
        <v>11</v>
      </c>
      <c r="F8" s="5">
        <f t="shared" si="0"/>
        <v>30</v>
      </c>
      <c r="G8" s="6">
        <v>3.5</v>
      </c>
      <c r="H8" s="5">
        <v>0.04</v>
      </c>
      <c r="I8" s="2">
        <f t="shared" si="1"/>
        <v>105</v>
      </c>
      <c r="J8" s="2">
        <f t="shared" si="3"/>
        <v>105</v>
      </c>
      <c r="K8" s="6">
        <f t="shared" si="2"/>
        <v>4.2</v>
      </c>
      <c r="L8" s="2" t="s">
        <v>12</v>
      </c>
      <c r="M8" s="14"/>
      <c r="N8" s="1"/>
      <c r="O8" s="1"/>
    </row>
    <row r="9" spans="1:15" s="7" customFormat="1" x14ac:dyDescent="0.55000000000000004">
      <c r="A9" s="2">
        <v>38</v>
      </c>
      <c r="B9" s="3">
        <v>656050</v>
      </c>
      <c r="C9" s="3">
        <v>656100</v>
      </c>
      <c r="D9" s="4" t="s">
        <v>10</v>
      </c>
      <c r="E9" s="2" t="s">
        <v>11</v>
      </c>
      <c r="F9" s="5">
        <f t="shared" si="0"/>
        <v>50</v>
      </c>
      <c r="G9" s="6">
        <v>3.5</v>
      </c>
      <c r="H9" s="5">
        <v>0.04</v>
      </c>
      <c r="I9" s="2">
        <f t="shared" si="1"/>
        <v>175</v>
      </c>
      <c r="J9" s="2">
        <f t="shared" si="3"/>
        <v>175</v>
      </c>
      <c r="K9" s="6">
        <f t="shared" si="2"/>
        <v>7</v>
      </c>
      <c r="L9" s="2" t="s">
        <v>12</v>
      </c>
      <c r="M9" s="14"/>
      <c r="N9" s="1"/>
      <c r="O9" s="1"/>
    </row>
    <row r="10" spans="1:15" s="7" customFormat="1" x14ac:dyDescent="0.55000000000000004">
      <c r="A10" s="2">
        <v>39</v>
      </c>
      <c r="B10" s="3">
        <v>656300</v>
      </c>
      <c r="C10" s="3">
        <v>656320</v>
      </c>
      <c r="D10" s="4" t="s">
        <v>10</v>
      </c>
      <c r="E10" s="2" t="s">
        <v>11</v>
      </c>
      <c r="F10" s="5">
        <f t="shared" si="0"/>
        <v>20</v>
      </c>
      <c r="G10" s="6">
        <v>3.5</v>
      </c>
      <c r="H10" s="5">
        <v>0.04</v>
      </c>
      <c r="I10" s="2">
        <f t="shared" si="1"/>
        <v>70</v>
      </c>
      <c r="J10" s="2">
        <f t="shared" si="3"/>
        <v>70</v>
      </c>
      <c r="K10" s="6">
        <f t="shared" si="2"/>
        <v>2.8000000000000003</v>
      </c>
      <c r="L10" s="2" t="s">
        <v>12</v>
      </c>
      <c r="M10" s="14"/>
      <c r="N10" s="1"/>
      <c r="O10" s="1"/>
    </row>
    <row r="11" spans="1:15" s="7" customFormat="1" x14ac:dyDescent="0.55000000000000004">
      <c r="A11" s="2">
        <v>40</v>
      </c>
      <c r="B11" s="3">
        <v>656450</v>
      </c>
      <c r="C11" s="3">
        <v>656520</v>
      </c>
      <c r="D11" s="4" t="s">
        <v>10</v>
      </c>
      <c r="E11" s="2" t="s">
        <v>11</v>
      </c>
      <c r="F11" s="5">
        <f t="shared" si="0"/>
        <v>70</v>
      </c>
      <c r="G11" s="6">
        <v>3.5</v>
      </c>
      <c r="H11" s="5">
        <v>0.04</v>
      </c>
      <c r="I11" s="2">
        <f t="shared" si="1"/>
        <v>245</v>
      </c>
      <c r="J11" s="2">
        <f t="shared" si="3"/>
        <v>245</v>
      </c>
      <c r="K11" s="6">
        <f t="shared" si="2"/>
        <v>9.8000000000000007</v>
      </c>
      <c r="L11" s="2" t="s">
        <v>12</v>
      </c>
      <c r="M11" s="14"/>
      <c r="N11" s="1"/>
      <c r="O11" s="1"/>
    </row>
    <row r="12" spans="1:15" s="7" customFormat="1" x14ac:dyDescent="0.55000000000000004">
      <c r="A12" s="2">
        <v>41</v>
      </c>
      <c r="B12" s="3">
        <v>658950</v>
      </c>
      <c r="C12" s="3">
        <v>658960</v>
      </c>
      <c r="D12" s="4" t="s">
        <v>10</v>
      </c>
      <c r="E12" s="2" t="s">
        <v>11</v>
      </c>
      <c r="F12" s="5">
        <f t="shared" si="0"/>
        <v>10</v>
      </c>
      <c r="G12" s="6">
        <v>3.5</v>
      </c>
      <c r="H12" s="5">
        <v>0.04</v>
      </c>
      <c r="I12" s="2">
        <f t="shared" si="1"/>
        <v>35</v>
      </c>
      <c r="J12" s="2">
        <f t="shared" si="3"/>
        <v>35</v>
      </c>
      <c r="K12" s="6">
        <f t="shared" si="2"/>
        <v>1.4000000000000001</v>
      </c>
      <c r="L12" s="2" t="s">
        <v>12</v>
      </c>
      <c r="M12" s="14"/>
      <c r="N12" s="1"/>
      <c r="O12" s="1"/>
    </row>
    <row r="13" spans="1:15" s="7" customFormat="1" x14ac:dyDescent="0.55000000000000004">
      <c r="A13" s="2">
        <v>42</v>
      </c>
      <c r="B13" s="3">
        <v>659500</v>
      </c>
      <c r="C13" s="3">
        <v>659520</v>
      </c>
      <c r="D13" s="4" t="s">
        <v>10</v>
      </c>
      <c r="E13" s="2" t="s">
        <v>14</v>
      </c>
      <c r="F13" s="5">
        <f t="shared" si="0"/>
        <v>20</v>
      </c>
      <c r="G13" s="6">
        <v>3.5</v>
      </c>
      <c r="H13" s="5">
        <v>0.04</v>
      </c>
      <c r="I13" s="2">
        <f t="shared" si="1"/>
        <v>70</v>
      </c>
      <c r="J13" s="2">
        <f t="shared" si="3"/>
        <v>70</v>
      </c>
      <c r="K13" s="6">
        <f t="shared" si="2"/>
        <v>2.8000000000000003</v>
      </c>
      <c r="L13" s="2" t="s">
        <v>12</v>
      </c>
      <c r="M13" s="14"/>
      <c r="N13" s="1"/>
      <c r="O13" s="1"/>
    </row>
    <row r="14" spans="1:15" s="7" customFormat="1" x14ac:dyDescent="0.55000000000000004">
      <c r="A14" s="2">
        <v>43</v>
      </c>
      <c r="B14" s="3">
        <v>660050</v>
      </c>
      <c r="C14" s="3">
        <v>660100</v>
      </c>
      <c r="D14" s="4" t="s">
        <v>10</v>
      </c>
      <c r="E14" s="2" t="s">
        <v>11</v>
      </c>
      <c r="F14" s="5">
        <f t="shared" si="0"/>
        <v>50</v>
      </c>
      <c r="G14" s="6">
        <v>3.5</v>
      </c>
      <c r="H14" s="5">
        <v>0.04</v>
      </c>
      <c r="I14" s="2">
        <f t="shared" si="1"/>
        <v>175</v>
      </c>
      <c r="J14" s="2">
        <f t="shared" si="3"/>
        <v>175</v>
      </c>
      <c r="K14" s="6">
        <f t="shared" si="2"/>
        <v>7</v>
      </c>
      <c r="L14" s="2" t="s">
        <v>12</v>
      </c>
      <c r="M14" s="14"/>
      <c r="N14" s="1"/>
      <c r="O14" s="1"/>
    </row>
    <row r="15" spans="1:15" s="7" customFormat="1" x14ac:dyDescent="0.55000000000000004">
      <c r="A15" s="2">
        <v>44</v>
      </c>
      <c r="B15" s="3">
        <v>661100</v>
      </c>
      <c r="C15" s="3">
        <v>661150</v>
      </c>
      <c r="D15" s="4" t="s">
        <v>10</v>
      </c>
      <c r="E15" s="2" t="s">
        <v>11</v>
      </c>
      <c r="F15" s="5">
        <f t="shared" si="0"/>
        <v>50</v>
      </c>
      <c r="G15" s="6">
        <v>3.5</v>
      </c>
      <c r="H15" s="5">
        <v>0.04</v>
      </c>
      <c r="I15" s="2">
        <f t="shared" si="1"/>
        <v>175</v>
      </c>
      <c r="J15" s="2">
        <f t="shared" si="3"/>
        <v>175</v>
      </c>
      <c r="K15" s="6">
        <f t="shared" si="2"/>
        <v>7</v>
      </c>
      <c r="L15" s="2" t="s">
        <v>12</v>
      </c>
      <c r="M15" s="14"/>
      <c r="N15" s="1"/>
      <c r="O15" s="1"/>
    </row>
    <row r="16" spans="1:15" s="7" customFormat="1" x14ac:dyDescent="0.55000000000000004">
      <c r="A16" s="2">
        <v>45</v>
      </c>
      <c r="B16" s="3">
        <v>661400</v>
      </c>
      <c r="C16" s="3">
        <v>661500</v>
      </c>
      <c r="D16" s="4" t="s">
        <v>10</v>
      </c>
      <c r="E16" s="2" t="s">
        <v>11</v>
      </c>
      <c r="F16" s="5">
        <f t="shared" si="0"/>
        <v>100</v>
      </c>
      <c r="G16" s="6">
        <v>3.5</v>
      </c>
      <c r="H16" s="5">
        <v>0.04</v>
      </c>
      <c r="I16" s="2">
        <f t="shared" si="1"/>
        <v>350</v>
      </c>
      <c r="J16" s="2">
        <f t="shared" si="3"/>
        <v>350</v>
      </c>
      <c r="K16" s="6">
        <f t="shared" si="2"/>
        <v>14</v>
      </c>
      <c r="L16" s="2" t="s">
        <v>12</v>
      </c>
      <c r="M16" s="14"/>
      <c r="N16" s="1"/>
      <c r="O16" s="1"/>
    </row>
    <row r="17" spans="1:15" s="7" customFormat="1" x14ac:dyDescent="0.55000000000000004">
      <c r="A17" s="2">
        <v>46</v>
      </c>
      <c r="B17" s="3">
        <v>667450</v>
      </c>
      <c r="C17" s="3">
        <v>667500</v>
      </c>
      <c r="D17" s="4" t="s">
        <v>10</v>
      </c>
      <c r="E17" s="2" t="s">
        <v>11</v>
      </c>
      <c r="F17" s="5">
        <f t="shared" si="0"/>
        <v>50</v>
      </c>
      <c r="G17" s="6">
        <v>3.5</v>
      </c>
      <c r="H17" s="5">
        <v>0.04</v>
      </c>
      <c r="I17" s="2">
        <f t="shared" si="1"/>
        <v>175</v>
      </c>
      <c r="J17" s="2">
        <f t="shared" si="3"/>
        <v>175</v>
      </c>
      <c r="K17" s="6">
        <f t="shared" si="2"/>
        <v>7</v>
      </c>
      <c r="L17" s="2" t="s">
        <v>12</v>
      </c>
      <c r="M17" s="14"/>
      <c r="N17" s="1"/>
      <c r="O17" s="1"/>
    </row>
    <row r="18" spans="1:15" s="7" customFormat="1" x14ac:dyDescent="0.55000000000000004">
      <c r="A18" s="2">
        <v>47</v>
      </c>
      <c r="B18" s="3">
        <v>667500</v>
      </c>
      <c r="C18" s="3">
        <v>667550</v>
      </c>
      <c r="D18" s="4" t="s">
        <v>10</v>
      </c>
      <c r="E18" s="2" t="s">
        <v>11</v>
      </c>
      <c r="F18" s="5">
        <f t="shared" si="0"/>
        <v>50</v>
      </c>
      <c r="G18" s="6">
        <v>3.5</v>
      </c>
      <c r="H18" s="5">
        <v>0.04</v>
      </c>
      <c r="I18" s="2">
        <f t="shared" si="1"/>
        <v>175</v>
      </c>
      <c r="J18" s="2">
        <f t="shared" si="3"/>
        <v>175</v>
      </c>
      <c r="K18" s="6">
        <f t="shared" si="2"/>
        <v>7</v>
      </c>
      <c r="L18" s="2" t="s">
        <v>12</v>
      </c>
      <c r="M18" s="14"/>
      <c r="N18" s="1"/>
      <c r="O18" s="1"/>
    </row>
    <row r="19" spans="1:15" s="7" customFormat="1" x14ac:dyDescent="0.55000000000000004">
      <c r="A19" s="2">
        <v>48</v>
      </c>
      <c r="B19" s="3">
        <v>667550</v>
      </c>
      <c r="C19" s="3">
        <v>667600</v>
      </c>
      <c r="D19" s="4" t="s">
        <v>10</v>
      </c>
      <c r="E19" s="2" t="s">
        <v>14</v>
      </c>
      <c r="F19" s="5">
        <f t="shared" si="0"/>
        <v>50</v>
      </c>
      <c r="G19" s="6">
        <v>3.5</v>
      </c>
      <c r="H19" s="5">
        <v>0.04</v>
      </c>
      <c r="I19" s="2">
        <f t="shared" si="1"/>
        <v>175</v>
      </c>
      <c r="J19" s="2">
        <f t="shared" si="3"/>
        <v>175</v>
      </c>
      <c r="K19" s="6">
        <f t="shared" si="2"/>
        <v>7</v>
      </c>
      <c r="L19" s="2" t="s">
        <v>12</v>
      </c>
      <c r="M19" s="14"/>
      <c r="N19" s="1"/>
      <c r="O19" s="1"/>
    </row>
    <row r="20" spans="1:15" s="7" customFormat="1" x14ac:dyDescent="0.55000000000000004">
      <c r="A20" s="2">
        <v>49</v>
      </c>
      <c r="B20" s="3">
        <v>667600</v>
      </c>
      <c r="C20" s="3">
        <v>667800</v>
      </c>
      <c r="D20" s="4" t="s">
        <v>10</v>
      </c>
      <c r="E20" s="2" t="s">
        <v>13</v>
      </c>
      <c r="F20" s="5">
        <f t="shared" si="0"/>
        <v>200</v>
      </c>
      <c r="G20" s="6">
        <v>3.5</v>
      </c>
      <c r="H20" s="5">
        <v>0.04</v>
      </c>
      <c r="I20" s="2">
        <f t="shared" si="1"/>
        <v>700</v>
      </c>
      <c r="J20" s="2">
        <f t="shared" si="3"/>
        <v>700</v>
      </c>
      <c r="K20" s="6">
        <f t="shared" si="2"/>
        <v>28</v>
      </c>
      <c r="L20" s="2" t="s">
        <v>12</v>
      </c>
      <c r="M20" s="14"/>
      <c r="N20" s="1"/>
      <c r="O20" s="1"/>
    </row>
    <row r="21" spans="1:15" s="7" customFormat="1" x14ac:dyDescent="0.55000000000000004">
      <c r="A21" s="2">
        <v>50</v>
      </c>
      <c r="B21" s="3">
        <v>668750</v>
      </c>
      <c r="C21" s="3">
        <v>668780</v>
      </c>
      <c r="D21" s="4" t="s">
        <v>10</v>
      </c>
      <c r="E21" s="2" t="s">
        <v>11</v>
      </c>
      <c r="F21" s="5">
        <f t="shared" si="0"/>
        <v>30</v>
      </c>
      <c r="G21" s="6">
        <v>3.5</v>
      </c>
      <c r="H21" s="5">
        <v>0.04</v>
      </c>
      <c r="I21" s="2">
        <f t="shared" si="1"/>
        <v>105</v>
      </c>
      <c r="J21" s="2">
        <f t="shared" si="3"/>
        <v>105</v>
      </c>
      <c r="K21" s="6">
        <f t="shared" si="2"/>
        <v>4.2</v>
      </c>
      <c r="L21" s="2" t="s">
        <v>12</v>
      </c>
      <c r="M21" s="14"/>
      <c r="N21" s="1"/>
      <c r="O21" s="1"/>
    </row>
    <row r="22" spans="1:15" s="7" customFormat="1" x14ac:dyDescent="0.55000000000000004">
      <c r="A22" s="2">
        <v>51</v>
      </c>
      <c r="B22" s="3">
        <v>668780</v>
      </c>
      <c r="C22" s="3">
        <v>668950</v>
      </c>
      <c r="D22" s="4" t="s">
        <v>10</v>
      </c>
      <c r="E22" s="2" t="s">
        <v>11</v>
      </c>
      <c r="F22" s="5">
        <f t="shared" si="0"/>
        <v>170</v>
      </c>
      <c r="G22" s="6">
        <v>3.5</v>
      </c>
      <c r="H22" s="5">
        <v>0.04</v>
      </c>
      <c r="I22" s="2">
        <f t="shared" si="1"/>
        <v>595</v>
      </c>
      <c r="J22" s="2">
        <f t="shared" si="3"/>
        <v>595</v>
      </c>
      <c r="K22" s="6">
        <f t="shared" si="2"/>
        <v>23.8</v>
      </c>
      <c r="L22" s="2" t="s">
        <v>12</v>
      </c>
      <c r="M22" s="14"/>
      <c r="N22" s="1"/>
      <c r="O22" s="1"/>
    </row>
    <row r="23" spans="1:15" s="7" customFormat="1" x14ac:dyDescent="0.55000000000000004">
      <c r="A23" s="2">
        <v>52</v>
      </c>
      <c r="B23" s="3">
        <v>670130</v>
      </c>
      <c r="C23" s="3">
        <v>670140</v>
      </c>
      <c r="D23" s="4" t="s">
        <v>10</v>
      </c>
      <c r="E23" s="2" t="s">
        <v>11</v>
      </c>
      <c r="F23" s="5">
        <f t="shared" si="0"/>
        <v>10</v>
      </c>
      <c r="G23" s="6">
        <v>3.5</v>
      </c>
      <c r="H23" s="5">
        <v>0.04</v>
      </c>
      <c r="I23" s="2">
        <f t="shared" si="1"/>
        <v>35</v>
      </c>
      <c r="J23" s="2">
        <f t="shared" si="3"/>
        <v>35</v>
      </c>
      <c r="K23" s="6">
        <f t="shared" si="2"/>
        <v>1.4000000000000001</v>
      </c>
      <c r="L23" s="2" t="s">
        <v>12</v>
      </c>
      <c r="M23" s="14"/>
      <c r="N23" s="1"/>
      <c r="O23" s="1"/>
    </row>
    <row r="24" spans="1:15" s="7" customFormat="1" x14ac:dyDescent="0.55000000000000004">
      <c r="A24" s="2">
        <v>53</v>
      </c>
      <c r="B24" s="3">
        <v>670300</v>
      </c>
      <c r="C24" s="3">
        <v>670320</v>
      </c>
      <c r="D24" s="4" t="s">
        <v>10</v>
      </c>
      <c r="E24" s="2" t="s">
        <v>14</v>
      </c>
      <c r="F24" s="5">
        <f t="shared" si="0"/>
        <v>20</v>
      </c>
      <c r="G24" s="6">
        <v>3.5</v>
      </c>
      <c r="H24" s="5">
        <v>0.04</v>
      </c>
      <c r="I24" s="2">
        <f t="shared" si="1"/>
        <v>70</v>
      </c>
      <c r="J24" s="2">
        <f t="shared" si="3"/>
        <v>70</v>
      </c>
      <c r="K24" s="6">
        <f t="shared" si="2"/>
        <v>2.8000000000000003</v>
      </c>
      <c r="L24" s="2" t="s">
        <v>12</v>
      </c>
      <c r="M24" s="14"/>
      <c r="N24" s="1"/>
      <c r="O24" s="1"/>
    </row>
    <row r="25" spans="1:15" s="7" customFormat="1" x14ac:dyDescent="0.55000000000000004">
      <c r="A25" s="2">
        <v>54</v>
      </c>
      <c r="B25" s="3">
        <v>670350</v>
      </c>
      <c r="C25" s="3">
        <v>670380</v>
      </c>
      <c r="D25" s="4" t="s">
        <v>10</v>
      </c>
      <c r="E25" s="2" t="s">
        <v>14</v>
      </c>
      <c r="F25" s="5">
        <f t="shared" si="0"/>
        <v>30</v>
      </c>
      <c r="G25" s="6">
        <v>3.5</v>
      </c>
      <c r="H25" s="5">
        <v>0.04</v>
      </c>
      <c r="I25" s="2">
        <f t="shared" si="1"/>
        <v>105</v>
      </c>
      <c r="J25" s="2">
        <f t="shared" si="3"/>
        <v>105</v>
      </c>
      <c r="K25" s="6">
        <f t="shared" si="2"/>
        <v>4.2</v>
      </c>
      <c r="L25" s="2" t="s">
        <v>12</v>
      </c>
      <c r="M25" s="14"/>
      <c r="N25" s="1"/>
      <c r="O25" s="1"/>
    </row>
    <row r="26" spans="1:15" s="7" customFormat="1" x14ac:dyDescent="0.55000000000000004">
      <c r="A26" s="2">
        <v>55</v>
      </c>
      <c r="B26" s="3">
        <v>670500</v>
      </c>
      <c r="C26" s="3">
        <v>670510</v>
      </c>
      <c r="D26" s="4" t="s">
        <v>10</v>
      </c>
      <c r="E26" s="2" t="s">
        <v>11</v>
      </c>
      <c r="F26" s="5">
        <f t="shared" si="0"/>
        <v>10</v>
      </c>
      <c r="G26" s="6">
        <v>3.5</v>
      </c>
      <c r="H26" s="5">
        <v>0.04</v>
      </c>
      <c r="I26" s="2">
        <f t="shared" si="1"/>
        <v>35</v>
      </c>
      <c r="J26" s="2">
        <f t="shared" si="3"/>
        <v>35</v>
      </c>
      <c r="K26" s="6">
        <f t="shared" si="2"/>
        <v>1.4000000000000001</v>
      </c>
      <c r="L26" s="2" t="s">
        <v>12</v>
      </c>
      <c r="M26" s="14"/>
      <c r="N26" s="1"/>
      <c r="O26" s="1"/>
    </row>
    <row r="27" spans="1:15" s="7" customFormat="1" x14ac:dyDescent="0.55000000000000004">
      <c r="A27" s="2">
        <v>56</v>
      </c>
      <c r="B27" s="3">
        <v>670550</v>
      </c>
      <c r="C27" s="3">
        <v>670600</v>
      </c>
      <c r="D27" s="4" t="s">
        <v>10</v>
      </c>
      <c r="E27" s="2" t="s">
        <v>11</v>
      </c>
      <c r="F27" s="5">
        <f t="shared" si="0"/>
        <v>50</v>
      </c>
      <c r="G27" s="6">
        <v>3.5</v>
      </c>
      <c r="H27" s="5">
        <v>0.04</v>
      </c>
      <c r="I27" s="2">
        <f t="shared" si="1"/>
        <v>175</v>
      </c>
      <c r="J27" s="2">
        <f t="shared" si="3"/>
        <v>175</v>
      </c>
      <c r="K27" s="6">
        <f t="shared" si="2"/>
        <v>7</v>
      </c>
      <c r="L27" s="2" t="s">
        <v>12</v>
      </c>
      <c r="M27" s="14"/>
      <c r="N27" s="1"/>
      <c r="O27" s="1"/>
    </row>
    <row r="28" spans="1:15" s="7" customFormat="1" x14ac:dyDescent="0.55000000000000004">
      <c r="A28" s="2"/>
      <c r="B28" s="3"/>
      <c r="C28" s="3"/>
      <c r="D28" s="4"/>
      <c r="E28" s="2"/>
      <c r="F28" s="2"/>
      <c r="G28" s="6"/>
      <c r="H28" s="2"/>
      <c r="I28" s="2"/>
      <c r="J28" s="2">
        <f t="shared" si="3"/>
        <v>0</v>
      </c>
      <c r="K28" s="6"/>
      <c r="L28" s="2"/>
      <c r="M28" s="14"/>
      <c r="N28" s="1"/>
      <c r="O28" s="1"/>
    </row>
    <row r="29" spans="1:15" s="7" customFormat="1" x14ac:dyDescent="0.55000000000000004">
      <c r="A29" s="2">
        <v>51</v>
      </c>
      <c r="B29" s="3">
        <v>646250</v>
      </c>
      <c r="C29" s="3">
        <v>646300</v>
      </c>
      <c r="D29" s="4" t="s">
        <v>15</v>
      </c>
      <c r="E29" s="2" t="s">
        <v>11</v>
      </c>
      <c r="F29" s="5">
        <f t="shared" ref="F29:F40" si="4">(C29-B29)</f>
        <v>50</v>
      </c>
      <c r="G29" s="6">
        <v>3.5</v>
      </c>
      <c r="H29" s="2">
        <v>0.04</v>
      </c>
      <c r="I29" s="2">
        <f t="shared" ref="I29:I40" si="5">F29*G29</f>
        <v>175</v>
      </c>
      <c r="J29" s="2">
        <f t="shared" si="3"/>
        <v>175</v>
      </c>
      <c r="K29" s="6">
        <f t="shared" ref="K29:K40" si="6">H29*I29</f>
        <v>7</v>
      </c>
      <c r="L29" s="2" t="s">
        <v>12</v>
      </c>
      <c r="M29" s="14"/>
      <c r="N29" s="1"/>
      <c r="O29" s="1"/>
    </row>
    <row r="30" spans="1:15" s="7" customFormat="1" x14ac:dyDescent="0.55000000000000004">
      <c r="A30" s="2">
        <v>52</v>
      </c>
      <c r="B30" s="3">
        <v>648250</v>
      </c>
      <c r="C30" s="3">
        <v>648350</v>
      </c>
      <c r="D30" s="4" t="s">
        <v>15</v>
      </c>
      <c r="E30" s="2" t="s">
        <v>11</v>
      </c>
      <c r="F30" s="5">
        <f t="shared" si="4"/>
        <v>100</v>
      </c>
      <c r="G30" s="6">
        <v>3.5</v>
      </c>
      <c r="H30" s="2">
        <v>0.04</v>
      </c>
      <c r="I30" s="2">
        <f t="shared" si="5"/>
        <v>350</v>
      </c>
      <c r="J30" s="2">
        <f t="shared" si="3"/>
        <v>350</v>
      </c>
      <c r="K30" s="6">
        <f t="shared" si="6"/>
        <v>14</v>
      </c>
      <c r="L30" s="2" t="s">
        <v>12</v>
      </c>
      <c r="M30" s="14"/>
      <c r="N30" s="1"/>
      <c r="O30" s="1"/>
    </row>
    <row r="31" spans="1:15" s="7" customFormat="1" x14ac:dyDescent="0.55000000000000004">
      <c r="A31" s="2">
        <v>53</v>
      </c>
      <c r="B31" s="3">
        <v>651100</v>
      </c>
      <c r="C31" s="3">
        <v>651150</v>
      </c>
      <c r="D31" s="4" t="s">
        <v>15</v>
      </c>
      <c r="E31" s="2" t="s">
        <v>11</v>
      </c>
      <c r="F31" s="5">
        <f t="shared" si="4"/>
        <v>50</v>
      </c>
      <c r="G31" s="6">
        <v>3.5</v>
      </c>
      <c r="H31" s="2">
        <v>0.04</v>
      </c>
      <c r="I31" s="2">
        <f t="shared" si="5"/>
        <v>175</v>
      </c>
      <c r="J31" s="2">
        <f t="shared" si="3"/>
        <v>175</v>
      </c>
      <c r="K31" s="6">
        <f t="shared" si="6"/>
        <v>7</v>
      </c>
      <c r="L31" s="2" t="s">
        <v>12</v>
      </c>
      <c r="M31" s="14"/>
      <c r="N31" s="1"/>
      <c r="O31" s="1"/>
    </row>
    <row r="32" spans="1:15" s="7" customFormat="1" x14ac:dyDescent="0.55000000000000004">
      <c r="A32" s="2">
        <v>54</v>
      </c>
      <c r="B32" s="3">
        <v>651900</v>
      </c>
      <c r="C32" s="3">
        <v>651950</v>
      </c>
      <c r="D32" s="4" t="s">
        <v>15</v>
      </c>
      <c r="E32" s="2" t="s">
        <v>11</v>
      </c>
      <c r="F32" s="5">
        <f t="shared" si="4"/>
        <v>50</v>
      </c>
      <c r="G32" s="6">
        <v>3.5</v>
      </c>
      <c r="H32" s="2">
        <v>0.04</v>
      </c>
      <c r="I32" s="2">
        <f t="shared" si="5"/>
        <v>175</v>
      </c>
      <c r="J32" s="2">
        <f t="shared" si="3"/>
        <v>175</v>
      </c>
      <c r="K32" s="6">
        <f t="shared" si="6"/>
        <v>7</v>
      </c>
      <c r="L32" s="2" t="s">
        <v>12</v>
      </c>
      <c r="M32" s="14"/>
      <c r="N32" s="1"/>
      <c r="O32" s="1"/>
    </row>
    <row r="33" spans="1:15" s="7" customFormat="1" x14ac:dyDescent="0.55000000000000004">
      <c r="A33" s="2">
        <v>55</v>
      </c>
      <c r="B33" s="3">
        <v>653200</v>
      </c>
      <c r="C33" s="3">
        <v>653300</v>
      </c>
      <c r="D33" s="4" t="s">
        <v>15</v>
      </c>
      <c r="E33" s="2" t="s">
        <v>11</v>
      </c>
      <c r="F33" s="5">
        <f t="shared" si="4"/>
        <v>100</v>
      </c>
      <c r="G33" s="6">
        <v>3.5</v>
      </c>
      <c r="H33" s="2">
        <v>0.04</v>
      </c>
      <c r="I33" s="2">
        <f t="shared" si="5"/>
        <v>350</v>
      </c>
      <c r="J33" s="2">
        <f t="shared" si="3"/>
        <v>350</v>
      </c>
      <c r="K33" s="6">
        <f t="shared" si="6"/>
        <v>14</v>
      </c>
      <c r="L33" s="2" t="s">
        <v>12</v>
      </c>
      <c r="M33" s="14"/>
      <c r="N33" s="1"/>
      <c r="O33" s="1"/>
    </row>
    <row r="34" spans="1:15" s="7" customFormat="1" x14ac:dyDescent="0.55000000000000004">
      <c r="A34" s="2">
        <v>56</v>
      </c>
      <c r="B34" s="3">
        <v>654900</v>
      </c>
      <c r="C34" s="3">
        <v>654950</v>
      </c>
      <c r="D34" s="4" t="s">
        <v>15</v>
      </c>
      <c r="E34" s="2" t="s">
        <v>11</v>
      </c>
      <c r="F34" s="5">
        <f t="shared" si="4"/>
        <v>50</v>
      </c>
      <c r="G34" s="6">
        <v>3.5</v>
      </c>
      <c r="H34" s="2">
        <v>0.04</v>
      </c>
      <c r="I34" s="2">
        <f t="shared" si="5"/>
        <v>175</v>
      </c>
      <c r="J34" s="2">
        <f t="shared" si="3"/>
        <v>175</v>
      </c>
      <c r="K34" s="6">
        <f t="shared" si="6"/>
        <v>7</v>
      </c>
      <c r="L34" s="2" t="s">
        <v>12</v>
      </c>
      <c r="M34" s="14"/>
      <c r="N34" s="1"/>
      <c r="O34" s="1"/>
    </row>
    <row r="35" spans="1:15" s="7" customFormat="1" x14ac:dyDescent="0.55000000000000004">
      <c r="A35" s="2">
        <v>57</v>
      </c>
      <c r="B35" s="3">
        <v>659700</v>
      </c>
      <c r="C35" s="3">
        <v>659710</v>
      </c>
      <c r="D35" s="4" t="s">
        <v>15</v>
      </c>
      <c r="E35" s="2" t="s">
        <v>11</v>
      </c>
      <c r="F35" s="5">
        <f t="shared" si="4"/>
        <v>10</v>
      </c>
      <c r="G35" s="6">
        <v>3.5</v>
      </c>
      <c r="H35" s="2">
        <v>0.04</v>
      </c>
      <c r="I35" s="2">
        <f t="shared" si="5"/>
        <v>35</v>
      </c>
      <c r="J35" s="2">
        <f t="shared" si="3"/>
        <v>35</v>
      </c>
      <c r="K35" s="6">
        <f t="shared" si="6"/>
        <v>1.4000000000000001</v>
      </c>
      <c r="L35" s="2" t="s">
        <v>12</v>
      </c>
      <c r="M35" s="14"/>
      <c r="N35" s="1"/>
      <c r="O35" s="1"/>
    </row>
    <row r="36" spans="1:15" s="7" customFormat="1" x14ac:dyDescent="0.55000000000000004">
      <c r="A36" s="2">
        <v>58</v>
      </c>
      <c r="B36" s="3">
        <v>659900</v>
      </c>
      <c r="C36" s="3">
        <v>660000</v>
      </c>
      <c r="D36" s="4" t="s">
        <v>15</v>
      </c>
      <c r="E36" s="2" t="s">
        <v>11</v>
      </c>
      <c r="F36" s="5">
        <f t="shared" si="4"/>
        <v>100</v>
      </c>
      <c r="G36" s="6">
        <v>3.5</v>
      </c>
      <c r="H36" s="2">
        <v>0.04</v>
      </c>
      <c r="I36" s="2">
        <f t="shared" si="5"/>
        <v>350</v>
      </c>
      <c r="J36" s="2">
        <f t="shared" si="3"/>
        <v>350</v>
      </c>
      <c r="K36" s="6">
        <f t="shared" si="6"/>
        <v>14</v>
      </c>
      <c r="L36" s="2" t="s">
        <v>12</v>
      </c>
      <c r="M36" s="14"/>
      <c r="N36" s="1"/>
      <c r="O36" s="1"/>
    </row>
    <row r="37" spans="1:15" s="7" customFormat="1" x14ac:dyDescent="0.55000000000000004">
      <c r="A37" s="2">
        <v>59</v>
      </c>
      <c r="B37" s="3">
        <v>660020</v>
      </c>
      <c r="C37" s="3">
        <v>660050</v>
      </c>
      <c r="D37" s="4" t="s">
        <v>15</v>
      </c>
      <c r="E37" s="2" t="s">
        <v>11</v>
      </c>
      <c r="F37" s="5">
        <f t="shared" si="4"/>
        <v>30</v>
      </c>
      <c r="G37" s="6">
        <v>3.5</v>
      </c>
      <c r="H37" s="2">
        <v>0.04</v>
      </c>
      <c r="I37" s="2">
        <f t="shared" si="5"/>
        <v>105</v>
      </c>
      <c r="J37" s="2">
        <f t="shared" si="3"/>
        <v>105</v>
      </c>
      <c r="K37" s="6">
        <f t="shared" si="6"/>
        <v>4.2</v>
      </c>
      <c r="L37" s="2" t="s">
        <v>12</v>
      </c>
      <c r="M37" s="14"/>
      <c r="N37" s="1"/>
      <c r="O37" s="1"/>
    </row>
    <row r="38" spans="1:15" s="7" customFormat="1" x14ac:dyDescent="0.55000000000000004">
      <c r="A38" s="2">
        <v>60</v>
      </c>
      <c r="B38" s="3">
        <v>662400</v>
      </c>
      <c r="C38" s="3">
        <v>662420</v>
      </c>
      <c r="D38" s="4" t="s">
        <v>15</v>
      </c>
      <c r="E38" s="2" t="s">
        <v>11</v>
      </c>
      <c r="F38" s="5">
        <f t="shared" si="4"/>
        <v>20</v>
      </c>
      <c r="G38" s="6">
        <v>3.5</v>
      </c>
      <c r="H38" s="2">
        <v>0.04</v>
      </c>
      <c r="I38" s="2">
        <f t="shared" si="5"/>
        <v>70</v>
      </c>
      <c r="J38" s="2">
        <f t="shared" si="3"/>
        <v>70</v>
      </c>
      <c r="K38" s="6">
        <f t="shared" si="6"/>
        <v>2.8000000000000003</v>
      </c>
      <c r="L38" s="2" t="s">
        <v>12</v>
      </c>
      <c r="M38" s="14"/>
      <c r="N38" s="1"/>
      <c r="O38" s="1"/>
    </row>
    <row r="39" spans="1:15" s="7" customFormat="1" x14ac:dyDescent="0.55000000000000004">
      <c r="A39" s="2">
        <v>61</v>
      </c>
      <c r="B39" s="3">
        <v>668200</v>
      </c>
      <c r="C39" s="3">
        <v>668220</v>
      </c>
      <c r="D39" s="4" t="s">
        <v>15</v>
      </c>
      <c r="E39" s="2" t="s">
        <v>11</v>
      </c>
      <c r="F39" s="5">
        <f t="shared" si="4"/>
        <v>20</v>
      </c>
      <c r="G39" s="6">
        <v>3.5</v>
      </c>
      <c r="H39" s="2">
        <v>0.04</v>
      </c>
      <c r="I39" s="2">
        <f t="shared" si="5"/>
        <v>70</v>
      </c>
      <c r="J39" s="2">
        <f t="shared" si="3"/>
        <v>70</v>
      </c>
      <c r="K39" s="6">
        <f t="shared" si="6"/>
        <v>2.8000000000000003</v>
      </c>
      <c r="L39" s="2" t="s">
        <v>12</v>
      </c>
      <c r="M39" s="14"/>
      <c r="N39" s="1"/>
      <c r="O39" s="1"/>
    </row>
    <row r="40" spans="1:15" s="7" customFormat="1" x14ac:dyDescent="0.55000000000000004">
      <c r="A40" s="2">
        <v>62</v>
      </c>
      <c r="B40" s="3">
        <v>669550</v>
      </c>
      <c r="C40" s="3">
        <v>669560</v>
      </c>
      <c r="D40" s="4" t="s">
        <v>15</v>
      </c>
      <c r="E40" s="2" t="s">
        <v>11</v>
      </c>
      <c r="F40" s="5">
        <f t="shared" si="4"/>
        <v>10</v>
      </c>
      <c r="G40" s="6">
        <v>3.5</v>
      </c>
      <c r="H40" s="2">
        <v>0.04</v>
      </c>
      <c r="I40" s="2">
        <f t="shared" si="5"/>
        <v>35</v>
      </c>
      <c r="J40" s="2">
        <f t="shared" si="3"/>
        <v>35</v>
      </c>
      <c r="K40" s="6">
        <f t="shared" si="6"/>
        <v>1.4000000000000001</v>
      </c>
      <c r="L40" s="2" t="s">
        <v>12</v>
      </c>
      <c r="M40" s="14"/>
      <c r="N40" s="1"/>
      <c r="O40" s="1"/>
    </row>
    <row r="41" spans="1:15" x14ac:dyDescent="0.55000000000000004">
      <c r="A41" s="8"/>
      <c r="B41" s="8"/>
      <c r="C41" s="8"/>
      <c r="D41" s="8"/>
      <c r="E41" s="9" t="s">
        <v>16</v>
      </c>
      <c r="F41" s="10">
        <f>SUM(F3:F40)</f>
        <v>1945</v>
      </c>
      <c r="G41" s="9"/>
      <c r="H41" s="9"/>
      <c r="I41" s="9">
        <f>SUM(I3:I40)</f>
        <v>6807.5</v>
      </c>
      <c r="J41" s="9">
        <f>SUM(J3:J40)</f>
        <v>6807.5</v>
      </c>
      <c r="K41" s="12">
        <f>SUM(K3:K40)</f>
        <v>272.3</v>
      </c>
      <c r="L41" s="8"/>
    </row>
  </sheetData>
  <mergeCells count="1">
    <mergeCell ref="A1:L1"/>
  </mergeCells>
  <conditionalFormatting sqref="M1:M1048576">
    <cfRule type="cellIs" dxfId="0" priority="1" operator="lessThan">
      <formula>0</formula>
    </cfRule>
  </conditionalFormatting>
  <printOptions horizontalCentered="1"/>
  <pageMargins left="0.59055118110236227" right="0.59055118110236227" top="0.78740157480314965" bottom="0.59055118110236227" header="0.31496062992125984" footer="0.31496062992125984"/>
  <pageSetup paperSize="9" fitToHeight="2" orientation="landscape" r:id="rId1"/>
  <headerFooter>
    <oddHeader>&amp;A</oddHeader>
    <oddFooter>Page &amp;P of &amp;N</oddFooter>
  </headerFooter>
  <colBreaks count="1" manualBreakCount="1">
    <brk id="12"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10B1C-1C02-48EA-AB7A-52038CA7AC1C}">
  <sheetPr>
    <pageSetUpPr fitToPage="1"/>
  </sheetPr>
  <dimension ref="A1:M15"/>
  <sheetViews>
    <sheetView view="pageBreakPreview" zoomScaleNormal="100"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77734375" defaultRowHeight="15.05" x14ac:dyDescent="0.3"/>
  <cols>
    <col min="1" max="1" width="6.5546875" style="43" customWidth="1"/>
    <col min="2" max="2" width="91.77734375" style="43" customWidth="1"/>
    <col min="3" max="3" width="6" style="43" customWidth="1"/>
    <col min="4" max="4" width="9.77734375" style="43" customWidth="1"/>
    <col min="5" max="5" width="10.77734375" style="43" customWidth="1"/>
    <col min="6" max="6" width="14.77734375" style="43" customWidth="1"/>
    <col min="7" max="7" width="16.77734375" style="43" customWidth="1"/>
    <col min="8" max="8" width="13.109375" style="41" customWidth="1"/>
    <col min="9" max="9" width="14.88671875" style="42" customWidth="1"/>
    <col min="10" max="16384" width="8.77734375" style="43"/>
  </cols>
  <sheetData>
    <row r="1" spans="1:13" ht="20.3" x14ac:dyDescent="0.3">
      <c r="A1" s="78" t="s">
        <v>51</v>
      </c>
      <c r="B1" s="78"/>
      <c r="C1" s="78"/>
      <c r="D1" s="78"/>
      <c r="E1" s="78"/>
      <c r="F1" s="78"/>
      <c r="G1" s="78"/>
    </row>
    <row r="2" spans="1:13" ht="20.3" x14ac:dyDescent="0.3">
      <c r="A2" s="78" t="s">
        <v>17</v>
      </c>
      <c r="B2" s="78"/>
      <c r="C2" s="78"/>
      <c r="D2" s="78"/>
      <c r="E2" s="78"/>
      <c r="F2" s="78"/>
      <c r="G2" s="78"/>
    </row>
    <row r="3" spans="1:13" x14ac:dyDescent="0.3">
      <c r="A3" s="61" t="s">
        <v>18</v>
      </c>
      <c r="B3" s="61" t="s">
        <v>19</v>
      </c>
      <c r="C3" s="61" t="s">
        <v>20</v>
      </c>
      <c r="D3" s="61" t="s">
        <v>21</v>
      </c>
      <c r="E3" s="62" t="s">
        <v>22</v>
      </c>
      <c r="F3" s="62" t="s">
        <v>23</v>
      </c>
      <c r="G3" s="61" t="s">
        <v>24</v>
      </c>
    </row>
    <row r="4" spans="1:13" ht="164.95" customHeight="1" x14ac:dyDescent="0.3">
      <c r="A4" s="63">
        <v>1</v>
      </c>
      <c r="B4" s="64" t="s">
        <v>48</v>
      </c>
      <c r="C4" s="18" t="s">
        <v>25</v>
      </c>
      <c r="D4" s="18"/>
      <c r="E4" s="20">
        <f>'[1]M_sheet (Rutting GJ)'!I80</f>
        <v>17929.000000000407</v>
      </c>
      <c r="F4" s="20">
        <f>D4*E4</f>
        <v>0</v>
      </c>
      <c r="G4" s="18"/>
      <c r="I4" s="44"/>
      <c r="K4" s="41"/>
      <c r="L4" s="41"/>
      <c r="M4" s="41"/>
    </row>
    <row r="5" spans="1:13" ht="160.05000000000001" customHeight="1" x14ac:dyDescent="0.3">
      <c r="A5" s="63">
        <v>2</v>
      </c>
      <c r="B5" s="65" t="s">
        <v>49</v>
      </c>
      <c r="C5" s="22" t="s">
        <v>26</v>
      </c>
      <c r="D5" s="25"/>
      <c r="E5" s="20">
        <f>'[1]M_sheet (Rutting GJ)'!I80</f>
        <v>17929.000000000407</v>
      </c>
      <c r="F5" s="20">
        <f t="shared" ref="F5:F6" si="0">D5*E5</f>
        <v>0</v>
      </c>
      <c r="G5" s="24"/>
      <c r="H5" s="44"/>
      <c r="I5" s="44"/>
    </row>
    <row r="6" spans="1:13" ht="108" customHeight="1" x14ac:dyDescent="0.3">
      <c r="A6" s="63">
        <v>3</v>
      </c>
      <c r="B6" s="65" t="s">
        <v>50</v>
      </c>
      <c r="C6" s="25" t="s">
        <v>27</v>
      </c>
      <c r="D6" s="18"/>
      <c r="E6" s="20">
        <f>'[1]M_sheet (Rutting GJ)'!J80</f>
        <v>717.16000000001623</v>
      </c>
      <c r="F6" s="20">
        <f t="shared" si="0"/>
        <v>0</v>
      </c>
      <c r="G6" s="24"/>
      <c r="H6" s="44"/>
      <c r="I6" s="44"/>
    </row>
    <row r="7" spans="1:13" x14ac:dyDescent="0.3">
      <c r="A7" s="66"/>
      <c r="B7" s="67" t="s">
        <v>28</v>
      </c>
      <c r="C7" s="67"/>
      <c r="D7" s="67"/>
      <c r="E7" s="67"/>
      <c r="F7" s="68">
        <f>SUM(F4:F6)</f>
        <v>0</v>
      </c>
      <c r="G7" s="69"/>
      <c r="I7" s="45"/>
    </row>
    <row r="8" spans="1:13" x14ac:dyDescent="0.3">
      <c r="A8" s="66"/>
      <c r="B8" s="70" t="s">
        <v>29</v>
      </c>
      <c r="C8" s="67"/>
      <c r="D8" s="67"/>
      <c r="E8" s="67"/>
      <c r="F8" s="68">
        <f>F7*18%</f>
        <v>0</v>
      </c>
      <c r="G8" s="66"/>
    </row>
    <row r="9" spans="1:13" x14ac:dyDescent="0.3">
      <c r="A9" s="66"/>
      <c r="B9" s="67" t="s">
        <v>30</v>
      </c>
      <c r="C9" s="67"/>
      <c r="D9" s="67"/>
      <c r="E9" s="67"/>
      <c r="F9" s="68">
        <f>F7+F8</f>
        <v>0</v>
      </c>
      <c r="G9" s="66"/>
    </row>
    <row r="11" spans="1:13" x14ac:dyDescent="0.3">
      <c r="A11" s="74" t="s">
        <v>35</v>
      </c>
      <c r="B11" s="74"/>
      <c r="C11" s="74"/>
      <c r="D11" s="74"/>
      <c r="E11" s="74"/>
      <c r="F11" s="74"/>
      <c r="G11" s="74"/>
    </row>
    <row r="12" spans="1:13" x14ac:dyDescent="0.25">
      <c r="A12" s="38"/>
      <c r="B12" s="37"/>
      <c r="C12" s="37"/>
      <c r="D12" s="37"/>
      <c r="E12" s="37"/>
      <c r="F12" s="71"/>
      <c r="G12" s="72"/>
    </row>
    <row r="13" spans="1:13" x14ac:dyDescent="0.3">
      <c r="A13" s="75" t="s">
        <v>36</v>
      </c>
      <c r="B13" s="75"/>
      <c r="C13" s="75"/>
      <c r="D13" s="75"/>
      <c r="E13" s="75"/>
      <c r="F13" s="75"/>
      <c r="G13" s="75"/>
    </row>
    <row r="14" spans="1:13" x14ac:dyDescent="0.3">
      <c r="A14" s="75"/>
      <c r="B14" s="75"/>
      <c r="C14" s="75"/>
      <c r="D14" s="75"/>
      <c r="E14" s="75"/>
      <c r="F14" s="75"/>
      <c r="G14" s="75"/>
    </row>
    <row r="15" spans="1:13" x14ac:dyDescent="0.3">
      <c r="A15" s="75"/>
      <c r="B15" s="75"/>
      <c r="C15" s="75"/>
      <c r="D15" s="75"/>
      <c r="E15" s="75"/>
      <c r="F15" s="75"/>
      <c r="G15" s="75"/>
    </row>
  </sheetData>
  <mergeCells count="4">
    <mergeCell ref="A1:G1"/>
    <mergeCell ref="A2:G2"/>
    <mergeCell ref="A11:G11"/>
    <mergeCell ref="A13:G15"/>
  </mergeCells>
  <hyperlinks>
    <hyperlink ref="B8" r:id="rId1" xr:uid="{DFDD2A49-DA5D-4CA5-B3F4-63697D6F2608}"/>
  </hyperlinks>
  <printOptions horizontalCentered="1"/>
  <pageMargins left="0.59055118110236227" right="0.59055118110236227" top="0.59055118110236227" bottom="0.59055118110236227" header="0.31496062992125984" footer="0.31496062992125984"/>
  <pageSetup paperSize="9" scale="80" orientation="landscape" r:id="rId2"/>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0BB4-306A-4CF5-9046-DDE1B16D1D81}">
  <sheetPr>
    <pageSetUpPr fitToPage="1"/>
  </sheetPr>
  <dimension ref="A1:N80"/>
  <sheetViews>
    <sheetView view="pageBreakPreview" zoomScale="130" zoomScaleNormal="100" zoomScaleSheetLayoutView="130" workbookViewId="0">
      <pane xSplit="8" ySplit="2" topLeftCell="I3" activePane="bottomRight" state="frozen"/>
      <selection pane="topRight" activeCell="I1" sqref="I1"/>
      <selection pane="bottomLeft" activeCell="A3" sqref="A3"/>
      <selection pane="bottomRight" activeCell="I3" sqref="I3"/>
    </sheetView>
  </sheetViews>
  <sheetFormatPr defaultColWidth="8.77734375" defaultRowHeight="16.399999999999999" x14ac:dyDescent="0.55000000000000004"/>
  <cols>
    <col min="1" max="1" width="4.44140625" style="11" bestFit="1" customWidth="1"/>
    <col min="2" max="3" width="9.33203125" style="11" customWidth="1"/>
    <col min="4" max="4" width="7.44140625" style="11" customWidth="1"/>
    <col min="5" max="5" width="11.33203125" style="11" customWidth="1"/>
    <col min="6" max="6" width="8.33203125" style="11" customWidth="1"/>
    <col min="7" max="7" width="7.6640625" style="11" customWidth="1"/>
    <col min="8" max="8" width="7.88671875" style="11" customWidth="1"/>
    <col min="9" max="9" width="10.21875" style="11" customWidth="1"/>
    <col min="10" max="10" width="11" style="11" customWidth="1"/>
    <col min="11" max="11" width="10.109375" style="11" customWidth="1"/>
    <col min="12" max="16384" width="8.77734375" style="1"/>
  </cols>
  <sheetData>
    <row r="1" spans="1:14" ht="21.6" x14ac:dyDescent="0.55000000000000004">
      <c r="A1" s="79" t="s">
        <v>0</v>
      </c>
      <c r="B1" s="80"/>
      <c r="C1" s="80"/>
      <c r="D1" s="80"/>
      <c r="E1" s="80"/>
      <c r="F1" s="80"/>
      <c r="G1" s="80"/>
      <c r="H1" s="80"/>
      <c r="I1" s="80"/>
      <c r="J1" s="80"/>
      <c r="K1" s="80"/>
    </row>
    <row r="2" spans="1:14" ht="18.350000000000001" x14ac:dyDescent="0.55000000000000004">
      <c r="A2" s="46" t="s">
        <v>1</v>
      </c>
      <c r="B2" s="46" t="s">
        <v>2</v>
      </c>
      <c r="C2" s="46" t="s">
        <v>3</v>
      </c>
      <c r="D2" s="46" t="s">
        <v>4</v>
      </c>
      <c r="E2" s="46" t="s">
        <v>5</v>
      </c>
      <c r="F2" s="46" t="s">
        <v>6</v>
      </c>
      <c r="G2" s="46" t="s">
        <v>7</v>
      </c>
      <c r="H2" s="46" t="s">
        <v>8</v>
      </c>
      <c r="I2" s="46" t="s">
        <v>40</v>
      </c>
      <c r="J2" s="46" t="s">
        <v>41</v>
      </c>
      <c r="K2" s="46" t="s">
        <v>9</v>
      </c>
    </row>
    <row r="3" spans="1:14" ht="18.350000000000001" x14ac:dyDescent="0.55000000000000004">
      <c r="A3" s="47">
        <v>1</v>
      </c>
      <c r="B3" s="48">
        <v>602750</v>
      </c>
      <c r="C3" s="48">
        <v>602757</v>
      </c>
      <c r="D3" s="49" t="s">
        <v>10</v>
      </c>
      <c r="E3" s="47" t="s">
        <v>42</v>
      </c>
      <c r="F3" s="50">
        <f>(C3-B3)</f>
        <v>7</v>
      </c>
      <c r="G3" s="51">
        <v>3.5</v>
      </c>
      <c r="H3" s="50">
        <v>0.04</v>
      </c>
      <c r="I3" s="47">
        <f t="shared" ref="I3:I33" si="0">F3*G3</f>
        <v>24.5</v>
      </c>
      <c r="J3" s="51">
        <f t="shared" ref="J3:J33" si="1">H3*I3</f>
        <v>0.98</v>
      </c>
      <c r="K3" s="47" t="s">
        <v>12</v>
      </c>
    </row>
    <row r="4" spans="1:14" ht="18.350000000000001" x14ac:dyDescent="0.55000000000000004">
      <c r="A4" s="47">
        <v>2</v>
      </c>
      <c r="B4" s="48">
        <v>602750</v>
      </c>
      <c r="C4" s="48">
        <v>602763</v>
      </c>
      <c r="D4" s="49" t="s">
        <v>10</v>
      </c>
      <c r="E4" s="47" t="s">
        <v>43</v>
      </c>
      <c r="F4" s="50">
        <f t="shared" ref="F4:F56" si="2">(C4-B4)</f>
        <v>13</v>
      </c>
      <c r="G4" s="51">
        <v>3.5</v>
      </c>
      <c r="H4" s="50">
        <v>0.04</v>
      </c>
      <c r="I4" s="47">
        <f t="shared" si="0"/>
        <v>45.5</v>
      </c>
      <c r="J4" s="51">
        <f t="shared" si="1"/>
        <v>1.82</v>
      </c>
      <c r="K4" s="47" t="s">
        <v>12</v>
      </c>
    </row>
    <row r="5" spans="1:14" s="7" customFormat="1" ht="18.350000000000001" x14ac:dyDescent="0.55000000000000004">
      <c r="A5" s="47">
        <v>3</v>
      </c>
      <c r="B5" s="48">
        <v>602750</v>
      </c>
      <c r="C5" s="48">
        <v>602775</v>
      </c>
      <c r="D5" s="49" t="s">
        <v>10</v>
      </c>
      <c r="E5" s="47" t="s">
        <v>44</v>
      </c>
      <c r="F5" s="50">
        <f t="shared" si="2"/>
        <v>25</v>
      </c>
      <c r="G5" s="51">
        <v>3.5</v>
      </c>
      <c r="H5" s="50">
        <v>0.04</v>
      </c>
      <c r="I5" s="47">
        <f t="shared" si="0"/>
        <v>87.5</v>
      </c>
      <c r="J5" s="51">
        <f t="shared" si="1"/>
        <v>3.5</v>
      </c>
      <c r="K5" s="47" t="s">
        <v>12</v>
      </c>
      <c r="M5" s="1"/>
      <c r="N5" s="1"/>
    </row>
    <row r="6" spans="1:14" s="7" customFormat="1" ht="18.350000000000001" x14ac:dyDescent="0.55000000000000004">
      <c r="A6" s="47">
        <v>4</v>
      </c>
      <c r="B6" s="48">
        <v>610395</v>
      </c>
      <c r="C6" s="48">
        <v>610420</v>
      </c>
      <c r="D6" s="49" t="s">
        <v>10</v>
      </c>
      <c r="E6" s="47" t="s">
        <v>11</v>
      </c>
      <c r="F6" s="50">
        <f t="shared" si="2"/>
        <v>25</v>
      </c>
      <c r="G6" s="51">
        <v>3.5</v>
      </c>
      <c r="H6" s="50">
        <v>0.04</v>
      </c>
      <c r="I6" s="47">
        <f t="shared" si="0"/>
        <v>87.5</v>
      </c>
      <c r="J6" s="51">
        <f t="shared" si="1"/>
        <v>3.5</v>
      </c>
      <c r="K6" s="47" t="s">
        <v>12</v>
      </c>
      <c r="M6" s="1"/>
      <c r="N6" s="1"/>
    </row>
    <row r="7" spans="1:14" s="7" customFormat="1" ht="18.350000000000001" x14ac:dyDescent="0.55000000000000004">
      <c r="A7" s="47">
        <v>5</v>
      </c>
      <c r="B7" s="48">
        <v>610430</v>
      </c>
      <c r="C7" s="48">
        <v>610500</v>
      </c>
      <c r="D7" s="49" t="s">
        <v>10</v>
      </c>
      <c r="E7" s="47" t="s">
        <v>14</v>
      </c>
      <c r="F7" s="50">
        <f t="shared" si="2"/>
        <v>70</v>
      </c>
      <c r="G7" s="51">
        <v>3.5</v>
      </c>
      <c r="H7" s="50">
        <v>0.04</v>
      </c>
      <c r="I7" s="47">
        <f t="shared" si="0"/>
        <v>245</v>
      </c>
      <c r="J7" s="51">
        <f t="shared" si="1"/>
        <v>9.8000000000000007</v>
      </c>
      <c r="K7" s="47" t="s">
        <v>12</v>
      </c>
      <c r="M7" s="1"/>
      <c r="N7" s="1"/>
    </row>
    <row r="8" spans="1:14" s="7" customFormat="1" ht="18.350000000000001" x14ac:dyDescent="0.55000000000000004">
      <c r="A8" s="47">
        <v>6</v>
      </c>
      <c r="B8" s="48">
        <v>620800</v>
      </c>
      <c r="C8" s="48">
        <v>620830</v>
      </c>
      <c r="D8" s="49" t="s">
        <v>10</v>
      </c>
      <c r="E8" s="47" t="s">
        <v>13</v>
      </c>
      <c r="F8" s="50">
        <f t="shared" si="2"/>
        <v>30</v>
      </c>
      <c r="G8" s="51">
        <v>3.5</v>
      </c>
      <c r="H8" s="50">
        <v>0.04</v>
      </c>
      <c r="I8" s="47">
        <f t="shared" si="0"/>
        <v>105</v>
      </c>
      <c r="J8" s="51">
        <f t="shared" si="1"/>
        <v>4.2</v>
      </c>
      <c r="K8" s="47" t="s">
        <v>12</v>
      </c>
      <c r="M8" s="1"/>
      <c r="N8" s="1"/>
    </row>
    <row r="9" spans="1:14" s="7" customFormat="1" ht="18.350000000000001" x14ac:dyDescent="0.55000000000000004">
      <c r="A9" s="47">
        <v>7</v>
      </c>
      <c r="B9" s="48">
        <v>620830</v>
      </c>
      <c r="C9" s="48">
        <v>620900</v>
      </c>
      <c r="D9" s="49" t="s">
        <v>10</v>
      </c>
      <c r="E9" s="47" t="s">
        <v>13</v>
      </c>
      <c r="F9" s="50">
        <f t="shared" si="2"/>
        <v>70</v>
      </c>
      <c r="G9" s="51">
        <v>3.5</v>
      </c>
      <c r="H9" s="50">
        <v>0.04</v>
      </c>
      <c r="I9" s="47">
        <f t="shared" si="0"/>
        <v>245</v>
      </c>
      <c r="J9" s="51">
        <f t="shared" si="1"/>
        <v>9.8000000000000007</v>
      </c>
      <c r="K9" s="47" t="s">
        <v>12</v>
      </c>
      <c r="M9" s="1"/>
      <c r="N9" s="1"/>
    </row>
    <row r="10" spans="1:14" s="7" customFormat="1" ht="18.350000000000001" x14ac:dyDescent="0.55000000000000004">
      <c r="A10" s="47">
        <v>8</v>
      </c>
      <c r="B10" s="48">
        <v>620920</v>
      </c>
      <c r="C10" s="48">
        <v>620950</v>
      </c>
      <c r="D10" s="49" t="s">
        <v>10</v>
      </c>
      <c r="E10" s="47" t="s">
        <v>45</v>
      </c>
      <c r="F10" s="50">
        <f t="shared" si="2"/>
        <v>30</v>
      </c>
      <c r="G10" s="51">
        <v>3.5</v>
      </c>
      <c r="H10" s="50">
        <v>0.04</v>
      </c>
      <c r="I10" s="47">
        <f t="shared" si="0"/>
        <v>105</v>
      </c>
      <c r="J10" s="51">
        <f t="shared" si="1"/>
        <v>4.2</v>
      </c>
      <c r="K10" s="47" t="s">
        <v>12</v>
      </c>
      <c r="M10" s="1"/>
      <c r="N10" s="1"/>
    </row>
    <row r="11" spans="1:14" s="7" customFormat="1" ht="18.350000000000001" x14ac:dyDescent="0.55000000000000004">
      <c r="A11" s="47">
        <v>9</v>
      </c>
      <c r="B11" s="48">
        <v>627550</v>
      </c>
      <c r="C11" s="48">
        <v>627560</v>
      </c>
      <c r="D11" s="49" t="s">
        <v>10</v>
      </c>
      <c r="E11" s="47" t="s">
        <v>13</v>
      </c>
      <c r="F11" s="50">
        <f t="shared" si="2"/>
        <v>10</v>
      </c>
      <c r="G11" s="52">
        <v>7</v>
      </c>
      <c r="H11" s="50">
        <v>0.04</v>
      </c>
      <c r="I11" s="47">
        <f t="shared" si="0"/>
        <v>70</v>
      </c>
      <c r="J11" s="51">
        <f t="shared" si="1"/>
        <v>2.8000000000000003</v>
      </c>
      <c r="K11" s="47" t="s">
        <v>12</v>
      </c>
      <c r="M11" s="1"/>
      <c r="N11" s="1"/>
    </row>
    <row r="12" spans="1:14" s="7" customFormat="1" ht="18.350000000000001" x14ac:dyDescent="0.55000000000000004">
      <c r="A12" s="47">
        <v>10</v>
      </c>
      <c r="B12" s="48">
        <v>627900</v>
      </c>
      <c r="C12" s="48">
        <v>627950</v>
      </c>
      <c r="D12" s="49" t="s">
        <v>10</v>
      </c>
      <c r="E12" s="47" t="s">
        <v>13</v>
      </c>
      <c r="F12" s="50">
        <f t="shared" si="2"/>
        <v>50</v>
      </c>
      <c r="G12" s="52">
        <v>3.5</v>
      </c>
      <c r="H12" s="50">
        <v>0.04</v>
      </c>
      <c r="I12" s="47">
        <f t="shared" si="0"/>
        <v>175</v>
      </c>
      <c r="J12" s="51">
        <f t="shared" si="1"/>
        <v>7</v>
      </c>
      <c r="K12" s="47" t="s">
        <v>12</v>
      </c>
      <c r="M12" s="1"/>
      <c r="N12" s="1"/>
    </row>
    <row r="13" spans="1:14" s="7" customFormat="1" ht="18.350000000000001" x14ac:dyDescent="0.55000000000000004">
      <c r="A13" s="47">
        <v>11</v>
      </c>
      <c r="B13" s="48">
        <v>628050</v>
      </c>
      <c r="C13" s="48">
        <v>628100</v>
      </c>
      <c r="D13" s="49" t="s">
        <v>10</v>
      </c>
      <c r="E13" s="47" t="s">
        <v>13</v>
      </c>
      <c r="F13" s="50">
        <f t="shared" si="2"/>
        <v>50</v>
      </c>
      <c r="G13" s="52">
        <v>3.5</v>
      </c>
      <c r="H13" s="50">
        <v>0.04</v>
      </c>
      <c r="I13" s="47">
        <f t="shared" si="0"/>
        <v>175</v>
      </c>
      <c r="J13" s="51">
        <f t="shared" si="1"/>
        <v>7</v>
      </c>
      <c r="K13" s="47" t="s">
        <v>12</v>
      </c>
      <c r="M13" s="1"/>
      <c r="N13" s="1"/>
    </row>
    <row r="14" spans="1:14" s="7" customFormat="1" ht="18.350000000000001" x14ac:dyDescent="0.55000000000000004">
      <c r="A14" s="47">
        <v>12</v>
      </c>
      <c r="B14" s="48">
        <v>628150</v>
      </c>
      <c r="C14" s="48">
        <v>628250</v>
      </c>
      <c r="D14" s="49" t="s">
        <v>10</v>
      </c>
      <c r="E14" s="47" t="s">
        <v>11</v>
      </c>
      <c r="F14" s="50">
        <f t="shared" si="2"/>
        <v>100</v>
      </c>
      <c r="G14" s="52">
        <v>3.5</v>
      </c>
      <c r="H14" s="50">
        <v>0.04</v>
      </c>
      <c r="I14" s="47">
        <f t="shared" si="0"/>
        <v>350</v>
      </c>
      <c r="J14" s="51">
        <f t="shared" si="1"/>
        <v>14</v>
      </c>
      <c r="K14" s="47" t="s">
        <v>12</v>
      </c>
      <c r="M14" s="1"/>
      <c r="N14" s="1"/>
    </row>
    <row r="15" spans="1:14" s="7" customFormat="1" ht="18.350000000000001" x14ac:dyDescent="0.55000000000000004">
      <c r="A15" s="47">
        <v>13</v>
      </c>
      <c r="B15" s="48">
        <v>628250</v>
      </c>
      <c r="C15" s="48">
        <v>628280</v>
      </c>
      <c r="D15" s="49" t="s">
        <v>10</v>
      </c>
      <c r="E15" s="47" t="s">
        <v>45</v>
      </c>
      <c r="F15" s="50">
        <f t="shared" si="2"/>
        <v>30</v>
      </c>
      <c r="G15" s="52">
        <v>4</v>
      </c>
      <c r="H15" s="50">
        <v>0.04</v>
      </c>
      <c r="I15" s="47">
        <f t="shared" si="0"/>
        <v>120</v>
      </c>
      <c r="J15" s="51">
        <f t="shared" si="1"/>
        <v>4.8</v>
      </c>
      <c r="K15" s="47" t="s">
        <v>12</v>
      </c>
      <c r="M15" s="1"/>
      <c r="N15" s="1"/>
    </row>
    <row r="16" spans="1:14" s="7" customFormat="1" ht="18.350000000000001" x14ac:dyDescent="0.55000000000000004">
      <c r="A16" s="47">
        <v>14</v>
      </c>
      <c r="B16" s="48">
        <v>628280</v>
      </c>
      <c r="C16" s="48">
        <v>628302</v>
      </c>
      <c r="D16" s="49" t="s">
        <v>10</v>
      </c>
      <c r="E16" s="47" t="s">
        <v>45</v>
      </c>
      <c r="F16" s="50">
        <f t="shared" si="2"/>
        <v>22</v>
      </c>
      <c r="G16" s="51">
        <v>3.5</v>
      </c>
      <c r="H16" s="50">
        <v>0.04</v>
      </c>
      <c r="I16" s="47">
        <f t="shared" si="0"/>
        <v>77</v>
      </c>
      <c r="J16" s="51">
        <f t="shared" si="1"/>
        <v>3.08</v>
      </c>
      <c r="K16" s="47" t="s">
        <v>12</v>
      </c>
      <c r="M16" s="1"/>
      <c r="N16" s="1"/>
    </row>
    <row r="17" spans="1:14" s="7" customFormat="1" ht="18.350000000000001" x14ac:dyDescent="0.55000000000000004">
      <c r="A17" s="47">
        <v>15</v>
      </c>
      <c r="B17" s="48">
        <v>628302</v>
      </c>
      <c r="C17" s="48">
        <v>628316</v>
      </c>
      <c r="D17" s="49" t="s">
        <v>10</v>
      </c>
      <c r="E17" s="47" t="s">
        <v>45</v>
      </c>
      <c r="F17" s="50">
        <f t="shared" si="2"/>
        <v>14</v>
      </c>
      <c r="G17" s="51">
        <v>3.5</v>
      </c>
      <c r="H17" s="50">
        <v>0.04</v>
      </c>
      <c r="I17" s="47">
        <f t="shared" si="0"/>
        <v>49</v>
      </c>
      <c r="J17" s="51">
        <f t="shared" si="1"/>
        <v>1.96</v>
      </c>
      <c r="K17" s="47" t="s">
        <v>12</v>
      </c>
      <c r="M17" s="1"/>
      <c r="N17" s="1"/>
    </row>
    <row r="18" spans="1:14" s="7" customFormat="1" ht="18.350000000000001" x14ac:dyDescent="0.55000000000000004">
      <c r="A18" s="47">
        <v>16</v>
      </c>
      <c r="B18" s="48">
        <v>628300</v>
      </c>
      <c r="C18" s="48">
        <v>628330</v>
      </c>
      <c r="D18" s="49" t="s">
        <v>10</v>
      </c>
      <c r="E18" s="47" t="s">
        <v>11</v>
      </c>
      <c r="F18" s="50">
        <f t="shared" si="2"/>
        <v>30</v>
      </c>
      <c r="G18" s="51">
        <v>3.5</v>
      </c>
      <c r="H18" s="50">
        <v>0.04</v>
      </c>
      <c r="I18" s="47">
        <f t="shared" si="0"/>
        <v>105</v>
      </c>
      <c r="J18" s="51">
        <f t="shared" si="1"/>
        <v>4.2</v>
      </c>
      <c r="K18" s="47" t="s">
        <v>12</v>
      </c>
      <c r="M18" s="1"/>
      <c r="N18" s="1"/>
    </row>
    <row r="19" spans="1:14" s="7" customFormat="1" ht="18.350000000000001" x14ac:dyDescent="0.55000000000000004">
      <c r="A19" s="47">
        <v>17</v>
      </c>
      <c r="B19" s="48">
        <v>628400</v>
      </c>
      <c r="C19" s="48">
        <v>628512</v>
      </c>
      <c r="D19" s="49" t="s">
        <v>10</v>
      </c>
      <c r="E19" s="47" t="s">
        <v>45</v>
      </c>
      <c r="F19" s="50">
        <f t="shared" si="2"/>
        <v>112</v>
      </c>
      <c r="G19" s="51">
        <v>3.5</v>
      </c>
      <c r="H19" s="50">
        <v>0.04</v>
      </c>
      <c r="I19" s="47">
        <f t="shared" si="0"/>
        <v>392</v>
      </c>
      <c r="J19" s="51">
        <f t="shared" si="1"/>
        <v>15.68</v>
      </c>
      <c r="K19" s="47" t="s">
        <v>12</v>
      </c>
      <c r="M19" s="1"/>
      <c r="N19" s="1"/>
    </row>
    <row r="20" spans="1:14" s="7" customFormat="1" ht="18.350000000000001" x14ac:dyDescent="0.55000000000000004">
      <c r="A20" s="47">
        <v>18</v>
      </c>
      <c r="B20" s="48">
        <v>628520</v>
      </c>
      <c r="C20" s="48">
        <v>628550</v>
      </c>
      <c r="D20" s="49" t="s">
        <v>10</v>
      </c>
      <c r="E20" s="47" t="s">
        <v>45</v>
      </c>
      <c r="F20" s="50">
        <f t="shared" si="2"/>
        <v>30</v>
      </c>
      <c r="G20" s="51">
        <v>3.5</v>
      </c>
      <c r="H20" s="50">
        <v>0.04</v>
      </c>
      <c r="I20" s="47">
        <f t="shared" si="0"/>
        <v>105</v>
      </c>
      <c r="J20" s="51">
        <f t="shared" si="1"/>
        <v>4.2</v>
      </c>
      <c r="K20" s="47" t="s">
        <v>12</v>
      </c>
      <c r="M20" s="1"/>
      <c r="N20" s="1"/>
    </row>
    <row r="21" spans="1:14" s="7" customFormat="1" ht="18.350000000000001" x14ac:dyDescent="0.55000000000000004">
      <c r="A21" s="47">
        <v>19</v>
      </c>
      <c r="B21" s="48">
        <v>628550</v>
      </c>
      <c r="C21" s="48">
        <v>628580</v>
      </c>
      <c r="D21" s="49" t="s">
        <v>10</v>
      </c>
      <c r="E21" s="47" t="s">
        <v>11</v>
      </c>
      <c r="F21" s="50">
        <f t="shared" si="2"/>
        <v>30</v>
      </c>
      <c r="G21" s="51">
        <v>3.5</v>
      </c>
      <c r="H21" s="50">
        <v>0.04</v>
      </c>
      <c r="I21" s="47">
        <f t="shared" si="0"/>
        <v>105</v>
      </c>
      <c r="J21" s="51">
        <f t="shared" si="1"/>
        <v>4.2</v>
      </c>
      <c r="K21" s="47" t="s">
        <v>12</v>
      </c>
      <c r="M21" s="1"/>
      <c r="N21" s="1"/>
    </row>
    <row r="22" spans="1:14" s="7" customFormat="1" ht="18.350000000000001" x14ac:dyDescent="0.55000000000000004">
      <c r="A22" s="47">
        <v>20</v>
      </c>
      <c r="B22" s="48">
        <v>629350</v>
      </c>
      <c r="C22" s="48">
        <v>629400</v>
      </c>
      <c r="D22" s="49" t="s">
        <v>10</v>
      </c>
      <c r="E22" s="47" t="s">
        <v>11</v>
      </c>
      <c r="F22" s="50">
        <f t="shared" si="2"/>
        <v>50</v>
      </c>
      <c r="G22" s="51">
        <v>3.5</v>
      </c>
      <c r="H22" s="50">
        <v>0.04</v>
      </c>
      <c r="I22" s="47">
        <f t="shared" si="0"/>
        <v>175</v>
      </c>
      <c r="J22" s="51">
        <f t="shared" si="1"/>
        <v>7</v>
      </c>
      <c r="K22" s="47" t="s">
        <v>12</v>
      </c>
      <c r="M22" s="1"/>
      <c r="N22" s="1"/>
    </row>
    <row r="23" spans="1:14" s="7" customFormat="1" ht="18.350000000000001" x14ac:dyDescent="0.55000000000000004">
      <c r="A23" s="47">
        <v>21</v>
      </c>
      <c r="B23" s="48">
        <v>629450</v>
      </c>
      <c r="C23" s="48">
        <v>629700</v>
      </c>
      <c r="D23" s="49" t="s">
        <v>10</v>
      </c>
      <c r="E23" s="47" t="s">
        <v>11</v>
      </c>
      <c r="F23" s="50">
        <f t="shared" si="2"/>
        <v>250</v>
      </c>
      <c r="G23" s="51">
        <v>3.5</v>
      </c>
      <c r="H23" s="50">
        <v>0.04</v>
      </c>
      <c r="I23" s="47">
        <f t="shared" si="0"/>
        <v>875</v>
      </c>
      <c r="J23" s="51">
        <f t="shared" si="1"/>
        <v>35</v>
      </c>
      <c r="K23" s="47" t="s">
        <v>12</v>
      </c>
      <c r="M23" s="1"/>
      <c r="N23" s="1"/>
    </row>
    <row r="24" spans="1:14" s="7" customFormat="1" ht="18.350000000000001" x14ac:dyDescent="0.55000000000000004">
      <c r="A24" s="47">
        <v>22</v>
      </c>
      <c r="B24" s="48">
        <v>631370</v>
      </c>
      <c r="C24" s="48">
        <v>631400</v>
      </c>
      <c r="D24" s="49" t="s">
        <v>10</v>
      </c>
      <c r="E24" s="47" t="s">
        <v>13</v>
      </c>
      <c r="F24" s="50">
        <f t="shared" si="2"/>
        <v>30</v>
      </c>
      <c r="G24" s="51">
        <v>3.5</v>
      </c>
      <c r="H24" s="50">
        <v>0.04</v>
      </c>
      <c r="I24" s="47">
        <f t="shared" si="0"/>
        <v>105</v>
      </c>
      <c r="J24" s="51">
        <f t="shared" si="1"/>
        <v>4.2</v>
      </c>
      <c r="K24" s="47" t="s">
        <v>12</v>
      </c>
      <c r="M24" s="1"/>
      <c r="N24" s="1"/>
    </row>
    <row r="25" spans="1:14" s="7" customFormat="1" ht="18.350000000000001" x14ac:dyDescent="0.55000000000000004">
      <c r="A25" s="47">
        <v>23</v>
      </c>
      <c r="B25" s="48">
        <v>631400</v>
      </c>
      <c r="C25" s="48">
        <v>631500</v>
      </c>
      <c r="D25" s="49" t="s">
        <v>10</v>
      </c>
      <c r="E25" s="47" t="s">
        <v>11</v>
      </c>
      <c r="F25" s="50">
        <f t="shared" si="2"/>
        <v>100</v>
      </c>
      <c r="G25" s="51">
        <v>3.5</v>
      </c>
      <c r="H25" s="50">
        <v>0.04</v>
      </c>
      <c r="I25" s="47">
        <f t="shared" si="0"/>
        <v>350</v>
      </c>
      <c r="J25" s="51">
        <f t="shared" si="1"/>
        <v>14</v>
      </c>
      <c r="K25" s="47" t="s">
        <v>12</v>
      </c>
      <c r="M25" s="1"/>
      <c r="N25" s="1"/>
    </row>
    <row r="26" spans="1:14" s="7" customFormat="1" ht="18.350000000000001" x14ac:dyDescent="0.55000000000000004">
      <c r="A26" s="47">
        <v>24</v>
      </c>
      <c r="B26" s="48">
        <v>631600</v>
      </c>
      <c r="C26" s="48">
        <v>631650</v>
      </c>
      <c r="D26" s="49" t="s">
        <v>10</v>
      </c>
      <c r="E26" s="47" t="s">
        <v>11</v>
      </c>
      <c r="F26" s="50">
        <f t="shared" si="2"/>
        <v>50</v>
      </c>
      <c r="G26" s="51">
        <v>3.5</v>
      </c>
      <c r="H26" s="50">
        <v>0.04</v>
      </c>
      <c r="I26" s="47">
        <f t="shared" si="0"/>
        <v>175</v>
      </c>
      <c r="J26" s="51">
        <f t="shared" si="1"/>
        <v>7</v>
      </c>
      <c r="K26" s="47" t="s">
        <v>12</v>
      </c>
      <c r="M26" s="1"/>
      <c r="N26" s="1"/>
    </row>
    <row r="27" spans="1:14" s="7" customFormat="1" ht="18.350000000000001" x14ac:dyDescent="0.55000000000000004">
      <c r="A27" s="47">
        <v>25</v>
      </c>
      <c r="B27" s="48">
        <v>632000</v>
      </c>
      <c r="C27" s="48">
        <v>632100</v>
      </c>
      <c r="D27" s="49" t="s">
        <v>10</v>
      </c>
      <c r="E27" s="47" t="s">
        <v>11</v>
      </c>
      <c r="F27" s="50">
        <f t="shared" si="2"/>
        <v>100</v>
      </c>
      <c r="G27" s="51">
        <v>3.5</v>
      </c>
      <c r="H27" s="50">
        <v>0.04</v>
      </c>
      <c r="I27" s="47">
        <f t="shared" si="0"/>
        <v>350</v>
      </c>
      <c r="J27" s="51">
        <f t="shared" si="1"/>
        <v>14</v>
      </c>
      <c r="K27" s="47" t="s">
        <v>12</v>
      </c>
      <c r="M27" s="1"/>
      <c r="N27" s="1"/>
    </row>
    <row r="28" spans="1:14" s="7" customFormat="1" ht="18.350000000000001" x14ac:dyDescent="0.55000000000000004">
      <c r="A28" s="47">
        <v>26</v>
      </c>
      <c r="B28" s="48">
        <v>634600</v>
      </c>
      <c r="C28" s="48">
        <v>634650</v>
      </c>
      <c r="D28" s="49" t="s">
        <v>10</v>
      </c>
      <c r="E28" s="47" t="s">
        <v>11</v>
      </c>
      <c r="F28" s="50">
        <f t="shared" si="2"/>
        <v>50</v>
      </c>
      <c r="G28" s="51">
        <v>3.5</v>
      </c>
      <c r="H28" s="50">
        <v>0.04</v>
      </c>
      <c r="I28" s="47">
        <f t="shared" si="0"/>
        <v>175</v>
      </c>
      <c r="J28" s="51">
        <f t="shared" si="1"/>
        <v>7</v>
      </c>
      <c r="K28" s="47" t="s">
        <v>12</v>
      </c>
      <c r="M28" s="1"/>
      <c r="N28" s="1"/>
    </row>
    <row r="29" spans="1:14" s="7" customFormat="1" ht="18.350000000000001" x14ac:dyDescent="0.55000000000000004">
      <c r="A29" s="47">
        <v>27</v>
      </c>
      <c r="B29" s="48">
        <v>634650</v>
      </c>
      <c r="C29" s="48">
        <v>634686</v>
      </c>
      <c r="D29" s="49" t="s">
        <v>10</v>
      </c>
      <c r="E29" s="47" t="s">
        <v>45</v>
      </c>
      <c r="F29" s="50">
        <f t="shared" si="2"/>
        <v>36</v>
      </c>
      <c r="G29" s="51">
        <v>3.5</v>
      </c>
      <c r="H29" s="50">
        <v>0.04</v>
      </c>
      <c r="I29" s="47">
        <f t="shared" si="0"/>
        <v>126</v>
      </c>
      <c r="J29" s="51">
        <f t="shared" si="1"/>
        <v>5.04</v>
      </c>
      <c r="K29" s="47" t="s">
        <v>12</v>
      </c>
      <c r="M29" s="1"/>
      <c r="N29" s="1"/>
    </row>
    <row r="30" spans="1:14" s="7" customFormat="1" ht="18.350000000000001" x14ac:dyDescent="0.55000000000000004">
      <c r="A30" s="47">
        <v>28</v>
      </c>
      <c r="B30" s="48">
        <v>634720</v>
      </c>
      <c r="C30" s="48">
        <v>634745</v>
      </c>
      <c r="D30" s="49" t="s">
        <v>10</v>
      </c>
      <c r="E30" s="47" t="s">
        <v>45</v>
      </c>
      <c r="F30" s="50">
        <f t="shared" si="2"/>
        <v>25</v>
      </c>
      <c r="G30" s="51">
        <v>3.5</v>
      </c>
      <c r="H30" s="50">
        <v>0.04</v>
      </c>
      <c r="I30" s="47">
        <f t="shared" si="0"/>
        <v>87.5</v>
      </c>
      <c r="J30" s="51">
        <f t="shared" si="1"/>
        <v>3.5</v>
      </c>
      <c r="K30" s="47" t="s">
        <v>12</v>
      </c>
      <c r="M30" s="1"/>
      <c r="N30" s="1"/>
    </row>
    <row r="31" spans="1:14" s="7" customFormat="1" ht="18.350000000000001" x14ac:dyDescent="0.55000000000000004">
      <c r="A31" s="47">
        <v>29</v>
      </c>
      <c r="B31" s="48">
        <v>634750</v>
      </c>
      <c r="C31" s="48">
        <v>634830</v>
      </c>
      <c r="D31" s="49" t="s">
        <v>10</v>
      </c>
      <c r="E31" s="47" t="s">
        <v>11</v>
      </c>
      <c r="F31" s="50">
        <f t="shared" si="2"/>
        <v>80</v>
      </c>
      <c r="G31" s="51">
        <v>3.5</v>
      </c>
      <c r="H31" s="50">
        <v>0.04</v>
      </c>
      <c r="I31" s="47">
        <f t="shared" si="0"/>
        <v>280</v>
      </c>
      <c r="J31" s="51">
        <f t="shared" si="1"/>
        <v>11.200000000000001</v>
      </c>
      <c r="K31" s="47" t="s">
        <v>12</v>
      </c>
      <c r="M31" s="1"/>
      <c r="N31" s="1"/>
    </row>
    <row r="32" spans="1:14" s="7" customFormat="1" ht="18.350000000000001" x14ac:dyDescent="0.55000000000000004">
      <c r="A32" s="47">
        <v>30</v>
      </c>
      <c r="B32" s="48">
        <v>635900</v>
      </c>
      <c r="C32" s="48">
        <v>635915</v>
      </c>
      <c r="D32" s="49" t="s">
        <v>10</v>
      </c>
      <c r="E32" s="47" t="s">
        <v>45</v>
      </c>
      <c r="F32" s="50">
        <f t="shared" si="2"/>
        <v>15</v>
      </c>
      <c r="G32" s="51">
        <v>3.5</v>
      </c>
      <c r="H32" s="50">
        <v>0.04</v>
      </c>
      <c r="I32" s="47">
        <f t="shared" si="0"/>
        <v>52.5</v>
      </c>
      <c r="J32" s="51">
        <f t="shared" si="1"/>
        <v>2.1</v>
      </c>
      <c r="K32" s="47" t="s">
        <v>12</v>
      </c>
      <c r="M32" s="1"/>
      <c r="N32" s="1"/>
    </row>
    <row r="33" spans="1:14" s="7" customFormat="1" ht="18.350000000000001" x14ac:dyDescent="0.55000000000000004">
      <c r="A33" s="47">
        <v>31</v>
      </c>
      <c r="B33" s="48">
        <v>645700</v>
      </c>
      <c r="C33" s="48">
        <v>645750</v>
      </c>
      <c r="D33" s="49" t="s">
        <v>10</v>
      </c>
      <c r="E33" s="47" t="s">
        <v>11</v>
      </c>
      <c r="F33" s="50">
        <f t="shared" si="2"/>
        <v>50</v>
      </c>
      <c r="G33" s="51">
        <v>3.5</v>
      </c>
      <c r="H33" s="50">
        <v>0.04</v>
      </c>
      <c r="I33" s="47">
        <f t="shared" si="0"/>
        <v>175</v>
      </c>
      <c r="J33" s="51">
        <f t="shared" si="1"/>
        <v>7</v>
      </c>
      <c r="K33" s="47" t="s">
        <v>12</v>
      </c>
      <c r="M33" s="1"/>
      <c r="N33" s="1"/>
    </row>
    <row r="34" spans="1:14" s="7" customFormat="1" ht="18.350000000000001" x14ac:dyDescent="0.55000000000000004">
      <c r="A34" s="47"/>
      <c r="B34" s="48"/>
      <c r="C34" s="48"/>
      <c r="D34" s="49"/>
      <c r="E34" s="47"/>
      <c r="F34" s="47"/>
      <c r="G34" s="51"/>
      <c r="H34" s="47"/>
      <c r="I34" s="47"/>
      <c r="J34" s="51"/>
      <c r="K34" s="47"/>
      <c r="M34" s="1"/>
      <c r="N34" s="1"/>
    </row>
    <row r="35" spans="1:14" s="7" customFormat="1" ht="18.350000000000001" x14ac:dyDescent="0.55000000000000004">
      <c r="A35" s="47">
        <v>1</v>
      </c>
      <c r="B35" s="48">
        <v>602750</v>
      </c>
      <c r="C35" s="48">
        <v>602758</v>
      </c>
      <c r="D35" s="49" t="s">
        <v>15</v>
      </c>
      <c r="E35" s="47" t="s">
        <v>46</v>
      </c>
      <c r="F35" s="50">
        <f t="shared" si="2"/>
        <v>8</v>
      </c>
      <c r="G35" s="51">
        <v>3.5</v>
      </c>
      <c r="H35" s="47">
        <v>0.04</v>
      </c>
      <c r="I35" s="47">
        <f t="shared" ref="I35:I79" si="3">F35*G35</f>
        <v>28</v>
      </c>
      <c r="J35" s="51">
        <f t="shared" ref="J35:J79" si="4">H35*I35</f>
        <v>1.1200000000000001</v>
      </c>
      <c r="K35" s="47" t="s">
        <v>12</v>
      </c>
      <c r="M35" s="1"/>
      <c r="N35" s="1"/>
    </row>
    <row r="36" spans="1:14" s="7" customFormat="1" ht="18.350000000000001" x14ac:dyDescent="0.55000000000000004">
      <c r="A36" s="47">
        <v>2</v>
      </c>
      <c r="B36" s="48">
        <v>602750</v>
      </c>
      <c r="C36" s="48">
        <v>602786</v>
      </c>
      <c r="D36" s="49" t="s">
        <v>15</v>
      </c>
      <c r="E36" s="47" t="s">
        <v>47</v>
      </c>
      <c r="F36" s="50">
        <f t="shared" si="2"/>
        <v>36</v>
      </c>
      <c r="G36" s="51">
        <v>3.5</v>
      </c>
      <c r="H36" s="47">
        <v>0.04</v>
      </c>
      <c r="I36" s="47">
        <f t="shared" si="3"/>
        <v>126</v>
      </c>
      <c r="J36" s="51">
        <f t="shared" si="4"/>
        <v>5.04</v>
      </c>
      <c r="K36" s="47" t="s">
        <v>12</v>
      </c>
      <c r="M36" s="1"/>
      <c r="N36" s="1"/>
    </row>
    <row r="37" spans="1:14" s="7" customFormat="1" ht="18.350000000000001" x14ac:dyDescent="0.55000000000000004">
      <c r="A37" s="47">
        <v>3</v>
      </c>
      <c r="B37" s="48">
        <v>619050</v>
      </c>
      <c r="C37" s="48">
        <v>619150</v>
      </c>
      <c r="D37" s="49" t="s">
        <v>15</v>
      </c>
      <c r="E37" s="47" t="s">
        <v>13</v>
      </c>
      <c r="F37" s="50">
        <f t="shared" si="2"/>
        <v>100</v>
      </c>
      <c r="G37" s="51">
        <v>3.5</v>
      </c>
      <c r="H37" s="47">
        <v>0.04</v>
      </c>
      <c r="I37" s="47">
        <f t="shared" si="3"/>
        <v>350</v>
      </c>
      <c r="J37" s="51">
        <f t="shared" si="4"/>
        <v>14</v>
      </c>
      <c r="K37" s="47" t="s">
        <v>12</v>
      </c>
      <c r="M37" s="1"/>
      <c r="N37" s="1"/>
    </row>
    <row r="38" spans="1:14" s="7" customFormat="1" ht="18.350000000000001" x14ac:dyDescent="0.55000000000000004">
      <c r="A38" s="47">
        <v>4</v>
      </c>
      <c r="B38" s="48">
        <v>622100</v>
      </c>
      <c r="C38" s="48">
        <v>622400</v>
      </c>
      <c r="D38" s="49" t="s">
        <v>15</v>
      </c>
      <c r="E38" s="47" t="s">
        <v>14</v>
      </c>
      <c r="F38" s="50">
        <f t="shared" si="2"/>
        <v>300</v>
      </c>
      <c r="G38" s="51">
        <v>3.5</v>
      </c>
      <c r="H38" s="47">
        <v>0.04</v>
      </c>
      <c r="I38" s="47">
        <f t="shared" si="3"/>
        <v>1050</v>
      </c>
      <c r="J38" s="51">
        <f t="shared" si="4"/>
        <v>42</v>
      </c>
      <c r="K38" s="47" t="s">
        <v>12</v>
      </c>
      <c r="M38" s="1"/>
      <c r="N38" s="1"/>
    </row>
    <row r="39" spans="1:14" s="7" customFormat="1" ht="18.350000000000001" x14ac:dyDescent="0.55000000000000004">
      <c r="A39" s="47">
        <v>5</v>
      </c>
      <c r="B39" s="48">
        <v>622200</v>
      </c>
      <c r="C39" s="48">
        <v>622280</v>
      </c>
      <c r="D39" s="49" t="s">
        <v>15</v>
      </c>
      <c r="E39" s="47" t="s">
        <v>11</v>
      </c>
      <c r="F39" s="50">
        <f t="shared" si="2"/>
        <v>80</v>
      </c>
      <c r="G39" s="51">
        <v>3.5</v>
      </c>
      <c r="H39" s="47">
        <v>0.04</v>
      </c>
      <c r="I39" s="47">
        <f t="shared" si="3"/>
        <v>280</v>
      </c>
      <c r="J39" s="51">
        <f t="shared" si="4"/>
        <v>11.200000000000001</v>
      </c>
      <c r="K39" s="47" t="s">
        <v>12</v>
      </c>
      <c r="M39" s="1"/>
      <c r="N39" s="1"/>
    </row>
    <row r="40" spans="1:14" s="7" customFormat="1" ht="18.350000000000001" x14ac:dyDescent="0.55000000000000004">
      <c r="A40" s="47">
        <v>6</v>
      </c>
      <c r="B40" s="48">
        <v>622346</v>
      </c>
      <c r="C40" s="48">
        <v>622550</v>
      </c>
      <c r="D40" s="49" t="s">
        <v>15</v>
      </c>
      <c r="E40" s="47" t="s">
        <v>45</v>
      </c>
      <c r="F40" s="50">
        <f t="shared" si="2"/>
        <v>204</v>
      </c>
      <c r="G40" s="51">
        <v>3.5</v>
      </c>
      <c r="H40" s="47">
        <v>0.04</v>
      </c>
      <c r="I40" s="47">
        <f t="shared" si="3"/>
        <v>714</v>
      </c>
      <c r="J40" s="51">
        <f t="shared" si="4"/>
        <v>28.560000000000002</v>
      </c>
      <c r="K40" s="47" t="s">
        <v>12</v>
      </c>
      <c r="M40" s="1"/>
      <c r="N40" s="1"/>
    </row>
    <row r="41" spans="1:14" s="7" customFormat="1" ht="18.350000000000001" x14ac:dyDescent="0.55000000000000004">
      <c r="A41" s="47">
        <v>7</v>
      </c>
      <c r="B41" s="48">
        <v>626800</v>
      </c>
      <c r="C41" s="48">
        <v>627000</v>
      </c>
      <c r="D41" s="49" t="s">
        <v>15</v>
      </c>
      <c r="E41" s="47" t="s">
        <v>11</v>
      </c>
      <c r="F41" s="50">
        <f t="shared" si="2"/>
        <v>200</v>
      </c>
      <c r="G41" s="51">
        <v>3.5</v>
      </c>
      <c r="H41" s="47">
        <v>0.04</v>
      </c>
      <c r="I41" s="47">
        <f t="shared" si="3"/>
        <v>700</v>
      </c>
      <c r="J41" s="51">
        <f t="shared" si="4"/>
        <v>28</v>
      </c>
      <c r="K41" s="47" t="s">
        <v>12</v>
      </c>
      <c r="M41" s="1"/>
      <c r="N41" s="1"/>
    </row>
    <row r="42" spans="1:14" s="7" customFormat="1" ht="18.350000000000001" x14ac:dyDescent="0.55000000000000004">
      <c r="A42" s="47">
        <v>8</v>
      </c>
      <c r="B42" s="48">
        <v>627000</v>
      </c>
      <c r="C42" s="48">
        <v>627200</v>
      </c>
      <c r="D42" s="49" t="s">
        <v>15</v>
      </c>
      <c r="E42" s="47" t="s">
        <v>13</v>
      </c>
      <c r="F42" s="50">
        <f t="shared" si="2"/>
        <v>200</v>
      </c>
      <c r="G42" s="52">
        <v>7</v>
      </c>
      <c r="H42" s="47">
        <v>0.04</v>
      </c>
      <c r="I42" s="47">
        <f t="shared" si="3"/>
        <v>1400</v>
      </c>
      <c r="J42" s="51">
        <f t="shared" si="4"/>
        <v>56</v>
      </c>
      <c r="K42" s="47" t="s">
        <v>12</v>
      </c>
      <c r="M42" s="1"/>
      <c r="N42" s="1"/>
    </row>
    <row r="43" spans="1:14" s="7" customFormat="1" ht="18.350000000000001" x14ac:dyDescent="0.55000000000000004">
      <c r="A43" s="47">
        <v>9</v>
      </c>
      <c r="B43" s="48">
        <v>627305</v>
      </c>
      <c r="C43" s="48">
        <v>627330</v>
      </c>
      <c r="D43" s="49" t="s">
        <v>15</v>
      </c>
      <c r="E43" s="47" t="s">
        <v>45</v>
      </c>
      <c r="F43" s="50">
        <f t="shared" si="2"/>
        <v>25</v>
      </c>
      <c r="G43" s="51">
        <v>3.5</v>
      </c>
      <c r="H43" s="47">
        <v>0.04</v>
      </c>
      <c r="I43" s="47">
        <f t="shared" si="3"/>
        <v>87.5</v>
      </c>
      <c r="J43" s="51">
        <f t="shared" si="4"/>
        <v>3.5</v>
      </c>
      <c r="K43" s="47" t="s">
        <v>12</v>
      </c>
      <c r="M43" s="1"/>
      <c r="N43" s="1"/>
    </row>
    <row r="44" spans="1:14" s="7" customFormat="1" ht="18.350000000000001" x14ac:dyDescent="0.55000000000000004">
      <c r="A44" s="47">
        <v>10</v>
      </c>
      <c r="B44" s="48">
        <v>627374</v>
      </c>
      <c r="C44" s="48">
        <v>627400</v>
      </c>
      <c r="D44" s="49" t="s">
        <v>15</v>
      </c>
      <c r="E44" s="47" t="s">
        <v>45</v>
      </c>
      <c r="F44" s="50">
        <f t="shared" si="2"/>
        <v>26</v>
      </c>
      <c r="G44" s="51">
        <v>3.5</v>
      </c>
      <c r="H44" s="47">
        <v>0.04</v>
      </c>
      <c r="I44" s="47">
        <f t="shared" si="3"/>
        <v>91</v>
      </c>
      <c r="J44" s="51">
        <f t="shared" si="4"/>
        <v>3.64</v>
      </c>
      <c r="K44" s="47" t="s">
        <v>12</v>
      </c>
      <c r="M44" s="1"/>
      <c r="N44" s="1"/>
    </row>
    <row r="45" spans="1:14" s="7" customFormat="1" ht="18.350000000000001" x14ac:dyDescent="0.55000000000000004">
      <c r="A45" s="47">
        <v>11</v>
      </c>
      <c r="B45" s="48">
        <v>627500</v>
      </c>
      <c r="C45" s="48">
        <v>627600</v>
      </c>
      <c r="D45" s="49" t="s">
        <v>15</v>
      </c>
      <c r="E45" s="47" t="s">
        <v>11</v>
      </c>
      <c r="F45" s="50">
        <f t="shared" si="2"/>
        <v>100</v>
      </c>
      <c r="G45" s="51">
        <v>3.5</v>
      </c>
      <c r="H45" s="47">
        <v>0.04</v>
      </c>
      <c r="I45" s="47">
        <f t="shared" si="3"/>
        <v>350</v>
      </c>
      <c r="J45" s="51">
        <f t="shared" si="4"/>
        <v>14</v>
      </c>
      <c r="K45" s="47" t="s">
        <v>12</v>
      </c>
      <c r="M45" s="1"/>
      <c r="N45" s="1"/>
    </row>
    <row r="46" spans="1:14" s="7" customFormat="1" ht="18.350000000000001" x14ac:dyDescent="0.55000000000000004">
      <c r="A46" s="47">
        <v>12</v>
      </c>
      <c r="B46" s="48">
        <v>627900</v>
      </c>
      <c r="C46" s="48">
        <v>627950</v>
      </c>
      <c r="D46" s="49" t="s">
        <v>15</v>
      </c>
      <c r="E46" s="47" t="s">
        <v>14</v>
      </c>
      <c r="F46" s="50">
        <f t="shared" si="2"/>
        <v>50</v>
      </c>
      <c r="G46" s="51">
        <v>3.5</v>
      </c>
      <c r="H46" s="47">
        <v>0.04</v>
      </c>
      <c r="I46" s="47">
        <f t="shared" si="3"/>
        <v>175</v>
      </c>
      <c r="J46" s="51">
        <f t="shared" si="4"/>
        <v>7</v>
      </c>
      <c r="K46" s="47" t="s">
        <v>12</v>
      </c>
      <c r="M46" s="1"/>
      <c r="N46" s="1"/>
    </row>
    <row r="47" spans="1:14" s="7" customFormat="1" ht="18.350000000000001" x14ac:dyDescent="0.55000000000000004">
      <c r="A47" s="47">
        <v>13</v>
      </c>
      <c r="B47" s="48">
        <v>628150</v>
      </c>
      <c r="C47" s="48">
        <v>628200</v>
      </c>
      <c r="D47" s="49" t="s">
        <v>15</v>
      </c>
      <c r="E47" s="47" t="s">
        <v>11</v>
      </c>
      <c r="F47" s="50">
        <f t="shared" si="2"/>
        <v>50</v>
      </c>
      <c r="G47" s="51">
        <v>3.5</v>
      </c>
      <c r="H47" s="47">
        <v>0.04</v>
      </c>
      <c r="I47" s="47">
        <f t="shared" si="3"/>
        <v>175</v>
      </c>
      <c r="J47" s="51">
        <f t="shared" si="4"/>
        <v>7</v>
      </c>
      <c r="K47" s="47" t="s">
        <v>12</v>
      </c>
      <c r="M47" s="1"/>
      <c r="N47" s="1"/>
    </row>
    <row r="48" spans="1:14" s="7" customFormat="1" ht="18.350000000000001" x14ac:dyDescent="0.55000000000000004">
      <c r="A48" s="47">
        <v>14</v>
      </c>
      <c r="B48" s="48">
        <v>628230</v>
      </c>
      <c r="C48" s="48">
        <v>628400</v>
      </c>
      <c r="D48" s="49" t="s">
        <v>15</v>
      </c>
      <c r="E48" s="47" t="s">
        <v>14</v>
      </c>
      <c r="F48" s="50">
        <f t="shared" si="2"/>
        <v>170</v>
      </c>
      <c r="G48" s="51">
        <v>3.5</v>
      </c>
      <c r="H48" s="47">
        <v>0.04</v>
      </c>
      <c r="I48" s="47">
        <f t="shared" si="3"/>
        <v>595</v>
      </c>
      <c r="J48" s="51">
        <f t="shared" si="4"/>
        <v>23.8</v>
      </c>
      <c r="K48" s="47" t="s">
        <v>12</v>
      </c>
      <c r="M48" s="1"/>
      <c r="N48" s="1"/>
    </row>
    <row r="49" spans="1:14" s="7" customFormat="1" ht="18.350000000000001" x14ac:dyDescent="0.55000000000000004">
      <c r="A49" s="47">
        <v>15</v>
      </c>
      <c r="B49" s="48">
        <v>628800</v>
      </c>
      <c r="C49" s="48">
        <v>628870</v>
      </c>
      <c r="D49" s="49" t="s">
        <v>15</v>
      </c>
      <c r="E49" s="47" t="s">
        <v>45</v>
      </c>
      <c r="F49" s="50">
        <f t="shared" si="2"/>
        <v>70</v>
      </c>
      <c r="G49" s="51">
        <v>3.5</v>
      </c>
      <c r="H49" s="47">
        <v>0.04</v>
      </c>
      <c r="I49" s="47">
        <f t="shared" si="3"/>
        <v>245</v>
      </c>
      <c r="J49" s="51">
        <f t="shared" si="4"/>
        <v>9.8000000000000007</v>
      </c>
      <c r="K49" s="47" t="s">
        <v>12</v>
      </c>
      <c r="M49" s="1"/>
      <c r="N49" s="1"/>
    </row>
    <row r="50" spans="1:14" s="7" customFormat="1" ht="18.350000000000001" x14ac:dyDescent="0.55000000000000004">
      <c r="A50" s="47">
        <v>16</v>
      </c>
      <c r="B50" s="48">
        <v>628870</v>
      </c>
      <c r="C50" s="48">
        <v>629000</v>
      </c>
      <c r="D50" s="49" t="s">
        <v>15</v>
      </c>
      <c r="E50" s="47" t="s">
        <v>45</v>
      </c>
      <c r="F50" s="50">
        <f t="shared" si="2"/>
        <v>130</v>
      </c>
      <c r="G50" s="51">
        <v>3.5</v>
      </c>
      <c r="H50" s="47">
        <v>0.04</v>
      </c>
      <c r="I50" s="47">
        <f t="shared" si="3"/>
        <v>455</v>
      </c>
      <c r="J50" s="51">
        <f t="shared" si="4"/>
        <v>18.2</v>
      </c>
      <c r="K50" s="47" t="s">
        <v>12</v>
      </c>
      <c r="M50" s="1"/>
      <c r="N50" s="1"/>
    </row>
    <row r="51" spans="1:14" s="7" customFormat="1" ht="18.350000000000001" x14ac:dyDescent="0.55000000000000004">
      <c r="A51" s="47">
        <v>17</v>
      </c>
      <c r="B51" s="48">
        <v>629850</v>
      </c>
      <c r="C51" s="48">
        <v>629870</v>
      </c>
      <c r="D51" s="49" t="s">
        <v>15</v>
      </c>
      <c r="E51" s="47" t="s">
        <v>11</v>
      </c>
      <c r="F51" s="50">
        <f t="shared" si="2"/>
        <v>20</v>
      </c>
      <c r="G51" s="51">
        <v>3.5</v>
      </c>
      <c r="H51" s="47">
        <v>0.04</v>
      </c>
      <c r="I51" s="47">
        <f t="shared" si="3"/>
        <v>70</v>
      </c>
      <c r="J51" s="51">
        <f t="shared" si="4"/>
        <v>2.8000000000000003</v>
      </c>
      <c r="K51" s="47" t="s">
        <v>12</v>
      </c>
      <c r="M51" s="1"/>
      <c r="N51" s="1"/>
    </row>
    <row r="52" spans="1:14" s="7" customFormat="1" ht="18.350000000000001" x14ac:dyDescent="0.55000000000000004">
      <c r="A52" s="47">
        <v>18</v>
      </c>
      <c r="B52" s="48">
        <v>630400</v>
      </c>
      <c r="C52" s="48">
        <v>630450</v>
      </c>
      <c r="D52" s="49" t="s">
        <v>15</v>
      </c>
      <c r="E52" s="47" t="s">
        <v>11</v>
      </c>
      <c r="F52" s="50">
        <f t="shared" si="2"/>
        <v>50</v>
      </c>
      <c r="G52" s="51">
        <v>3.5</v>
      </c>
      <c r="H52" s="47">
        <v>0.04</v>
      </c>
      <c r="I52" s="47">
        <f t="shared" si="3"/>
        <v>175</v>
      </c>
      <c r="J52" s="51">
        <f t="shared" si="4"/>
        <v>7</v>
      </c>
      <c r="K52" s="47" t="s">
        <v>12</v>
      </c>
      <c r="M52" s="1"/>
      <c r="N52" s="1"/>
    </row>
    <row r="53" spans="1:14" s="7" customFormat="1" ht="18.350000000000001" x14ac:dyDescent="0.55000000000000004">
      <c r="A53" s="47">
        <v>19</v>
      </c>
      <c r="B53" s="48">
        <v>630550</v>
      </c>
      <c r="C53" s="48">
        <v>630600</v>
      </c>
      <c r="D53" s="49" t="s">
        <v>15</v>
      </c>
      <c r="E53" s="47" t="s">
        <v>11</v>
      </c>
      <c r="F53" s="50">
        <f t="shared" si="2"/>
        <v>50</v>
      </c>
      <c r="G53" s="51">
        <v>3.5</v>
      </c>
      <c r="H53" s="47">
        <v>0.04</v>
      </c>
      <c r="I53" s="47">
        <f t="shared" si="3"/>
        <v>175</v>
      </c>
      <c r="J53" s="51">
        <f t="shared" si="4"/>
        <v>7</v>
      </c>
      <c r="K53" s="47" t="s">
        <v>12</v>
      </c>
      <c r="M53" s="1"/>
      <c r="N53" s="1"/>
    </row>
    <row r="54" spans="1:14" s="7" customFormat="1" ht="18.350000000000001" x14ac:dyDescent="0.55000000000000004">
      <c r="A54" s="47">
        <v>20</v>
      </c>
      <c r="B54" s="48">
        <v>630900</v>
      </c>
      <c r="C54" s="48">
        <v>631000</v>
      </c>
      <c r="D54" s="49" t="s">
        <v>15</v>
      </c>
      <c r="E54" s="47" t="s">
        <v>11</v>
      </c>
      <c r="F54" s="50">
        <f t="shared" si="2"/>
        <v>100</v>
      </c>
      <c r="G54" s="51">
        <v>3.5</v>
      </c>
      <c r="H54" s="47">
        <v>0.04</v>
      </c>
      <c r="I54" s="47">
        <f t="shared" si="3"/>
        <v>350</v>
      </c>
      <c r="J54" s="51">
        <f t="shared" si="4"/>
        <v>14</v>
      </c>
      <c r="K54" s="47" t="s">
        <v>12</v>
      </c>
      <c r="M54" s="1"/>
      <c r="N54" s="1"/>
    </row>
    <row r="55" spans="1:14" s="7" customFormat="1" ht="18.350000000000001" x14ac:dyDescent="0.55000000000000004">
      <c r="A55" s="47">
        <v>21</v>
      </c>
      <c r="B55" s="48">
        <v>631250</v>
      </c>
      <c r="C55" s="48">
        <v>631330</v>
      </c>
      <c r="D55" s="49" t="s">
        <v>15</v>
      </c>
      <c r="E55" s="47" t="s">
        <v>14</v>
      </c>
      <c r="F55" s="50">
        <f t="shared" si="2"/>
        <v>80</v>
      </c>
      <c r="G55" s="51">
        <v>3.5</v>
      </c>
      <c r="H55" s="47">
        <v>0.04</v>
      </c>
      <c r="I55" s="47">
        <f t="shared" si="3"/>
        <v>280</v>
      </c>
      <c r="J55" s="51">
        <f t="shared" si="4"/>
        <v>11.200000000000001</v>
      </c>
      <c r="K55" s="47" t="s">
        <v>12</v>
      </c>
      <c r="M55" s="1"/>
      <c r="N55" s="1"/>
    </row>
    <row r="56" spans="1:14" s="7" customFormat="1" ht="18.350000000000001" x14ac:dyDescent="0.55000000000000004">
      <c r="A56" s="47">
        <v>22</v>
      </c>
      <c r="B56" s="48">
        <v>631250</v>
      </c>
      <c r="C56" s="48">
        <v>631261</v>
      </c>
      <c r="D56" s="49" t="s">
        <v>15</v>
      </c>
      <c r="E56" s="47" t="s">
        <v>45</v>
      </c>
      <c r="F56" s="50">
        <f t="shared" si="2"/>
        <v>11</v>
      </c>
      <c r="G56" s="51">
        <v>3.5</v>
      </c>
      <c r="H56" s="47">
        <v>0.04</v>
      </c>
      <c r="I56" s="47">
        <f t="shared" si="3"/>
        <v>38.5</v>
      </c>
      <c r="J56" s="51">
        <f t="shared" si="4"/>
        <v>1.54</v>
      </c>
      <c r="K56" s="47" t="s">
        <v>12</v>
      </c>
      <c r="M56" s="1"/>
      <c r="N56" s="1"/>
    </row>
    <row r="57" spans="1:14" s="7" customFormat="1" ht="18.350000000000001" x14ac:dyDescent="0.55000000000000004">
      <c r="A57" s="47">
        <v>23</v>
      </c>
      <c r="B57" s="53">
        <v>631380</v>
      </c>
      <c r="C57" s="53">
        <v>631500</v>
      </c>
      <c r="D57" s="54" t="s">
        <v>15</v>
      </c>
      <c r="E57" s="55" t="s">
        <v>45</v>
      </c>
      <c r="F57" s="56">
        <f>(C57-B57)</f>
        <v>120</v>
      </c>
      <c r="G57" s="51">
        <v>3.5</v>
      </c>
      <c r="H57" s="55">
        <v>0.04</v>
      </c>
      <c r="I57" s="55">
        <f t="shared" si="3"/>
        <v>420</v>
      </c>
      <c r="J57" s="52">
        <f t="shared" si="4"/>
        <v>16.8</v>
      </c>
      <c r="K57" s="55" t="s">
        <v>12</v>
      </c>
      <c r="M57" s="1"/>
      <c r="N57" s="1"/>
    </row>
    <row r="58" spans="1:14" s="7" customFormat="1" ht="18.350000000000001" x14ac:dyDescent="0.55000000000000004">
      <c r="A58" s="47">
        <v>24</v>
      </c>
      <c r="B58" s="48">
        <v>631900</v>
      </c>
      <c r="C58" s="48">
        <v>632000</v>
      </c>
      <c r="D58" s="49" t="s">
        <v>15</v>
      </c>
      <c r="E58" s="47" t="s">
        <v>11</v>
      </c>
      <c r="F58" s="50">
        <f t="shared" ref="F58:F79" si="5">(C58-B58)</f>
        <v>100</v>
      </c>
      <c r="G58" s="51">
        <v>3.5</v>
      </c>
      <c r="H58" s="47">
        <v>0.04</v>
      </c>
      <c r="I58" s="47">
        <f t="shared" si="3"/>
        <v>350</v>
      </c>
      <c r="J58" s="51">
        <f t="shared" si="4"/>
        <v>14</v>
      </c>
      <c r="K58" s="47" t="s">
        <v>12</v>
      </c>
      <c r="M58" s="1"/>
      <c r="N58" s="1"/>
    </row>
    <row r="59" spans="1:14" s="7" customFormat="1" ht="18.350000000000001" x14ac:dyDescent="0.55000000000000004">
      <c r="A59" s="47">
        <v>25</v>
      </c>
      <c r="B59" s="48">
        <v>632000</v>
      </c>
      <c r="C59" s="48">
        <v>632065</v>
      </c>
      <c r="D59" s="49" t="s">
        <v>15</v>
      </c>
      <c r="E59" s="47" t="s">
        <v>45</v>
      </c>
      <c r="F59" s="50">
        <f t="shared" si="5"/>
        <v>65</v>
      </c>
      <c r="G59" s="51">
        <v>3.5</v>
      </c>
      <c r="H59" s="47">
        <v>0.04</v>
      </c>
      <c r="I59" s="47">
        <f t="shared" si="3"/>
        <v>227.5</v>
      </c>
      <c r="J59" s="51">
        <f t="shared" si="4"/>
        <v>9.1</v>
      </c>
      <c r="K59" s="47" t="s">
        <v>12</v>
      </c>
      <c r="M59" s="1"/>
      <c r="N59" s="1"/>
    </row>
    <row r="60" spans="1:14" s="7" customFormat="1" ht="18.350000000000001" x14ac:dyDescent="0.55000000000000004">
      <c r="A60" s="47">
        <v>26</v>
      </c>
      <c r="B60" s="48">
        <v>632100</v>
      </c>
      <c r="C60" s="48">
        <v>632150</v>
      </c>
      <c r="D60" s="49" t="s">
        <v>15</v>
      </c>
      <c r="E60" s="47" t="s">
        <v>11</v>
      </c>
      <c r="F60" s="50">
        <f t="shared" si="5"/>
        <v>50</v>
      </c>
      <c r="G60" s="51">
        <v>3.5</v>
      </c>
      <c r="H60" s="47">
        <v>0.04</v>
      </c>
      <c r="I60" s="47">
        <f t="shared" si="3"/>
        <v>175</v>
      </c>
      <c r="J60" s="51">
        <f t="shared" si="4"/>
        <v>7</v>
      </c>
      <c r="K60" s="47" t="s">
        <v>12</v>
      </c>
      <c r="M60" s="1"/>
      <c r="N60" s="1"/>
    </row>
    <row r="61" spans="1:14" s="7" customFormat="1" ht="18.350000000000001" x14ac:dyDescent="0.55000000000000004">
      <c r="A61" s="47">
        <v>27</v>
      </c>
      <c r="B61" s="53">
        <v>632200</v>
      </c>
      <c r="C61" s="53">
        <v>632237.00000000012</v>
      </c>
      <c r="D61" s="54" t="s">
        <v>15</v>
      </c>
      <c r="E61" s="55" t="s">
        <v>45</v>
      </c>
      <c r="F61" s="56">
        <f t="shared" si="5"/>
        <v>37.000000000116415</v>
      </c>
      <c r="G61" s="51">
        <v>3.5</v>
      </c>
      <c r="H61" s="55">
        <v>0.04</v>
      </c>
      <c r="I61" s="55">
        <f t="shared" si="3"/>
        <v>129.50000000040745</v>
      </c>
      <c r="J61" s="52">
        <f t="shared" si="4"/>
        <v>5.1800000000162987</v>
      </c>
      <c r="K61" s="55" t="s">
        <v>12</v>
      </c>
      <c r="M61" s="1"/>
      <c r="N61" s="1"/>
    </row>
    <row r="62" spans="1:14" s="7" customFormat="1" ht="18.350000000000001" x14ac:dyDescent="0.55000000000000004">
      <c r="A62" s="47">
        <v>28</v>
      </c>
      <c r="B62" s="48">
        <v>632250</v>
      </c>
      <c r="C62" s="48">
        <v>632290</v>
      </c>
      <c r="D62" s="49" t="s">
        <v>15</v>
      </c>
      <c r="E62" s="47" t="s">
        <v>45</v>
      </c>
      <c r="F62" s="50">
        <f t="shared" si="5"/>
        <v>40</v>
      </c>
      <c r="G62" s="51">
        <v>3.5</v>
      </c>
      <c r="H62" s="47">
        <v>0.04</v>
      </c>
      <c r="I62" s="47">
        <f t="shared" si="3"/>
        <v>140</v>
      </c>
      <c r="J62" s="51">
        <f t="shared" si="4"/>
        <v>5.6000000000000005</v>
      </c>
      <c r="K62" s="47" t="s">
        <v>12</v>
      </c>
      <c r="M62" s="1"/>
      <c r="N62" s="1"/>
    </row>
    <row r="63" spans="1:14" s="7" customFormat="1" ht="18.350000000000001" x14ac:dyDescent="0.55000000000000004">
      <c r="A63" s="47">
        <v>29</v>
      </c>
      <c r="B63" s="48">
        <v>632400</v>
      </c>
      <c r="C63" s="48">
        <v>632480</v>
      </c>
      <c r="D63" s="49" t="s">
        <v>15</v>
      </c>
      <c r="E63" s="47" t="s">
        <v>14</v>
      </c>
      <c r="F63" s="50">
        <f t="shared" si="5"/>
        <v>80</v>
      </c>
      <c r="G63" s="51">
        <v>3.5</v>
      </c>
      <c r="H63" s="47">
        <v>0.04</v>
      </c>
      <c r="I63" s="47">
        <f t="shared" si="3"/>
        <v>280</v>
      </c>
      <c r="J63" s="51">
        <f t="shared" si="4"/>
        <v>11.200000000000001</v>
      </c>
      <c r="K63" s="47" t="s">
        <v>12</v>
      </c>
      <c r="M63" s="1"/>
      <c r="N63" s="1"/>
    </row>
    <row r="64" spans="1:14" s="7" customFormat="1" ht="18.350000000000001" x14ac:dyDescent="0.55000000000000004">
      <c r="A64" s="47">
        <v>30</v>
      </c>
      <c r="B64" s="48">
        <v>632450</v>
      </c>
      <c r="C64" s="48">
        <v>632495</v>
      </c>
      <c r="D64" s="49" t="s">
        <v>15</v>
      </c>
      <c r="E64" s="47" t="s">
        <v>45</v>
      </c>
      <c r="F64" s="50">
        <f t="shared" si="5"/>
        <v>45</v>
      </c>
      <c r="G64" s="51">
        <v>3.5</v>
      </c>
      <c r="H64" s="47">
        <v>0.04</v>
      </c>
      <c r="I64" s="47">
        <f t="shared" si="3"/>
        <v>157.5</v>
      </c>
      <c r="J64" s="51">
        <f t="shared" si="4"/>
        <v>6.3</v>
      </c>
      <c r="K64" s="47" t="s">
        <v>12</v>
      </c>
      <c r="M64" s="1"/>
      <c r="N64" s="1"/>
    </row>
    <row r="65" spans="1:14" s="7" customFormat="1" ht="18.350000000000001" x14ac:dyDescent="0.55000000000000004">
      <c r="A65" s="47">
        <v>31</v>
      </c>
      <c r="B65" s="48">
        <v>632500</v>
      </c>
      <c r="C65" s="48">
        <v>632600</v>
      </c>
      <c r="D65" s="49" t="s">
        <v>15</v>
      </c>
      <c r="E65" s="47" t="s">
        <v>14</v>
      </c>
      <c r="F65" s="50">
        <f t="shared" si="5"/>
        <v>100</v>
      </c>
      <c r="G65" s="51">
        <v>3.5</v>
      </c>
      <c r="H65" s="47">
        <v>0.04</v>
      </c>
      <c r="I65" s="47">
        <f t="shared" si="3"/>
        <v>350</v>
      </c>
      <c r="J65" s="51">
        <f t="shared" si="4"/>
        <v>14</v>
      </c>
      <c r="K65" s="47" t="s">
        <v>12</v>
      </c>
      <c r="M65" s="1"/>
      <c r="N65" s="1"/>
    </row>
    <row r="66" spans="1:14" s="7" customFormat="1" ht="18.350000000000001" x14ac:dyDescent="0.55000000000000004">
      <c r="A66" s="47">
        <v>32</v>
      </c>
      <c r="B66" s="48">
        <v>632550</v>
      </c>
      <c r="C66" s="48">
        <v>632580</v>
      </c>
      <c r="D66" s="49" t="s">
        <v>15</v>
      </c>
      <c r="E66" s="47" t="s">
        <v>11</v>
      </c>
      <c r="F66" s="50">
        <f t="shared" si="5"/>
        <v>30</v>
      </c>
      <c r="G66" s="51">
        <v>3.5</v>
      </c>
      <c r="H66" s="47">
        <v>0.04</v>
      </c>
      <c r="I66" s="47">
        <f t="shared" si="3"/>
        <v>105</v>
      </c>
      <c r="J66" s="51">
        <f t="shared" si="4"/>
        <v>4.2</v>
      </c>
      <c r="K66" s="47" t="s">
        <v>12</v>
      </c>
      <c r="M66" s="1"/>
      <c r="N66" s="1"/>
    </row>
    <row r="67" spans="1:14" s="7" customFormat="1" ht="18.350000000000001" x14ac:dyDescent="0.55000000000000004">
      <c r="A67" s="47">
        <v>33</v>
      </c>
      <c r="B67" s="48">
        <v>632630</v>
      </c>
      <c r="C67" s="48">
        <v>632650</v>
      </c>
      <c r="D67" s="49" t="s">
        <v>15</v>
      </c>
      <c r="E67" s="47" t="s">
        <v>11</v>
      </c>
      <c r="F67" s="50">
        <f t="shared" si="5"/>
        <v>20</v>
      </c>
      <c r="G67" s="51">
        <v>3.5</v>
      </c>
      <c r="H67" s="47">
        <v>0.04</v>
      </c>
      <c r="I67" s="47">
        <f t="shared" si="3"/>
        <v>70</v>
      </c>
      <c r="J67" s="51">
        <f t="shared" si="4"/>
        <v>2.8000000000000003</v>
      </c>
      <c r="K67" s="47" t="s">
        <v>12</v>
      </c>
      <c r="M67" s="1"/>
      <c r="N67" s="1"/>
    </row>
    <row r="68" spans="1:14" s="7" customFormat="1" ht="18.350000000000001" x14ac:dyDescent="0.55000000000000004">
      <c r="A68" s="47">
        <v>34</v>
      </c>
      <c r="B68" s="48">
        <v>632660</v>
      </c>
      <c r="C68" s="48">
        <v>632697</v>
      </c>
      <c r="D68" s="49" t="s">
        <v>15</v>
      </c>
      <c r="E68" s="47" t="s">
        <v>45</v>
      </c>
      <c r="F68" s="50">
        <f t="shared" si="5"/>
        <v>37</v>
      </c>
      <c r="G68" s="52">
        <v>4</v>
      </c>
      <c r="H68" s="47">
        <v>0.04</v>
      </c>
      <c r="I68" s="47">
        <f t="shared" si="3"/>
        <v>148</v>
      </c>
      <c r="J68" s="51">
        <f t="shared" si="4"/>
        <v>5.92</v>
      </c>
      <c r="K68" s="47" t="s">
        <v>12</v>
      </c>
      <c r="M68" s="1"/>
      <c r="N68" s="1"/>
    </row>
    <row r="69" spans="1:14" s="7" customFormat="1" ht="18.350000000000001" x14ac:dyDescent="0.55000000000000004">
      <c r="A69" s="47">
        <v>35</v>
      </c>
      <c r="B69" s="48">
        <v>633195</v>
      </c>
      <c r="C69" s="48">
        <v>633200</v>
      </c>
      <c r="D69" s="49" t="s">
        <v>15</v>
      </c>
      <c r="E69" s="47" t="s">
        <v>11</v>
      </c>
      <c r="F69" s="50">
        <f t="shared" si="5"/>
        <v>5</v>
      </c>
      <c r="G69" s="51">
        <v>3.5</v>
      </c>
      <c r="H69" s="47">
        <v>0.04</v>
      </c>
      <c r="I69" s="47">
        <f t="shared" si="3"/>
        <v>17.5</v>
      </c>
      <c r="J69" s="51">
        <f t="shared" si="4"/>
        <v>0.70000000000000007</v>
      </c>
      <c r="K69" s="47" t="s">
        <v>12</v>
      </c>
      <c r="M69" s="1"/>
      <c r="N69" s="1"/>
    </row>
    <row r="70" spans="1:14" s="7" customFormat="1" ht="18.350000000000001" x14ac:dyDescent="0.55000000000000004">
      <c r="A70" s="47">
        <v>36</v>
      </c>
      <c r="B70" s="48">
        <v>633390</v>
      </c>
      <c r="C70" s="48">
        <v>633430</v>
      </c>
      <c r="D70" s="49" t="s">
        <v>15</v>
      </c>
      <c r="E70" s="47" t="s">
        <v>45</v>
      </c>
      <c r="F70" s="50">
        <f t="shared" si="5"/>
        <v>40</v>
      </c>
      <c r="G70" s="51">
        <v>3.5</v>
      </c>
      <c r="H70" s="47">
        <v>0.04</v>
      </c>
      <c r="I70" s="47">
        <f t="shared" si="3"/>
        <v>140</v>
      </c>
      <c r="J70" s="51">
        <f t="shared" si="4"/>
        <v>5.6000000000000005</v>
      </c>
      <c r="K70" s="47" t="s">
        <v>12</v>
      </c>
      <c r="M70" s="1"/>
      <c r="N70" s="1"/>
    </row>
    <row r="71" spans="1:14" s="7" customFormat="1" ht="18.350000000000001" x14ac:dyDescent="0.55000000000000004">
      <c r="A71" s="47">
        <v>37</v>
      </c>
      <c r="B71" s="48">
        <v>634370</v>
      </c>
      <c r="C71" s="48">
        <v>634405</v>
      </c>
      <c r="D71" s="49" t="s">
        <v>15</v>
      </c>
      <c r="E71" s="47" t="s">
        <v>45</v>
      </c>
      <c r="F71" s="50">
        <f t="shared" si="5"/>
        <v>35</v>
      </c>
      <c r="G71" s="51">
        <v>3.5</v>
      </c>
      <c r="H71" s="47">
        <v>0.04</v>
      </c>
      <c r="I71" s="47">
        <f t="shared" si="3"/>
        <v>122.5</v>
      </c>
      <c r="J71" s="51">
        <f t="shared" si="4"/>
        <v>4.9000000000000004</v>
      </c>
      <c r="K71" s="47" t="s">
        <v>12</v>
      </c>
      <c r="M71" s="1"/>
      <c r="N71" s="1"/>
    </row>
    <row r="72" spans="1:14" s="7" customFormat="1" ht="18.350000000000001" x14ac:dyDescent="0.55000000000000004">
      <c r="A72" s="47">
        <v>38</v>
      </c>
      <c r="B72" s="48">
        <v>634440</v>
      </c>
      <c r="C72" s="48">
        <v>634525</v>
      </c>
      <c r="D72" s="49" t="s">
        <v>15</v>
      </c>
      <c r="E72" s="47" t="s">
        <v>45</v>
      </c>
      <c r="F72" s="50">
        <f t="shared" si="5"/>
        <v>85</v>
      </c>
      <c r="G72" s="51">
        <v>3.5</v>
      </c>
      <c r="H72" s="47">
        <v>0.04</v>
      </c>
      <c r="I72" s="47">
        <f t="shared" si="3"/>
        <v>297.5</v>
      </c>
      <c r="J72" s="51">
        <f t="shared" si="4"/>
        <v>11.9</v>
      </c>
      <c r="K72" s="47" t="s">
        <v>12</v>
      </c>
      <c r="M72" s="1"/>
      <c r="N72" s="1"/>
    </row>
    <row r="73" spans="1:14" s="7" customFormat="1" ht="18.350000000000001" x14ac:dyDescent="0.55000000000000004">
      <c r="A73" s="47">
        <v>39</v>
      </c>
      <c r="B73" s="53">
        <v>634600</v>
      </c>
      <c r="C73" s="53">
        <v>634700</v>
      </c>
      <c r="D73" s="54" t="s">
        <v>15</v>
      </c>
      <c r="E73" s="55" t="s">
        <v>11</v>
      </c>
      <c r="F73" s="56">
        <f t="shared" si="5"/>
        <v>100</v>
      </c>
      <c r="G73" s="51">
        <v>3.5</v>
      </c>
      <c r="H73" s="55">
        <v>0.04</v>
      </c>
      <c r="I73" s="55">
        <f t="shared" si="3"/>
        <v>350</v>
      </c>
      <c r="J73" s="52">
        <f t="shared" si="4"/>
        <v>14</v>
      </c>
      <c r="K73" s="55" t="s">
        <v>12</v>
      </c>
      <c r="M73" s="1"/>
      <c r="N73" s="1"/>
    </row>
    <row r="74" spans="1:14" s="7" customFormat="1" ht="18.350000000000001" x14ac:dyDescent="0.55000000000000004">
      <c r="A74" s="47">
        <v>40</v>
      </c>
      <c r="B74" s="48">
        <v>634800</v>
      </c>
      <c r="C74" s="48">
        <v>634810</v>
      </c>
      <c r="D74" s="49" t="s">
        <v>15</v>
      </c>
      <c r="E74" s="47" t="s">
        <v>11</v>
      </c>
      <c r="F74" s="50">
        <f t="shared" si="5"/>
        <v>10</v>
      </c>
      <c r="G74" s="51">
        <v>3.5</v>
      </c>
      <c r="H74" s="47">
        <v>0.04</v>
      </c>
      <c r="I74" s="47">
        <f t="shared" si="3"/>
        <v>35</v>
      </c>
      <c r="J74" s="51">
        <f t="shared" si="4"/>
        <v>1.4000000000000001</v>
      </c>
      <c r="K74" s="47" t="s">
        <v>12</v>
      </c>
      <c r="M74" s="1"/>
      <c r="N74" s="1"/>
    </row>
    <row r="75" spans="1:14" s="7" customFormat="1" ht="18.350000000000001" x14ac:dyDescent="0.55000000000000004">
      <c r="A75" s="47">
        <v>41</v>
      </c>
      <c r="B75" s="48">
        <v>634900</v>
      </c>
      <c r="C75" s="48">
        <v>634910</v>
      </c>
      <c r="D75" s="49" t="s">
        <v>15</v>
      </c>
      <c r="E75" s="47" t="s">
        <v>11</v>
      </c>
      <c r="F75" s="50">
        <f t="shared" si="5"/>
        <v>10</v>
      </c>
      <c r="G75" s="51">
        <v>3.5</v>
      </c>
      <c r="H75" s="47">
        <v>0.04</v>
      </c>
      <c r="I75" s="47">
        <f t="shared" si="3"/>
        <v>35</v>
      </c>
      <c r="J75" s="51">
        <f t="shared" si="4"/>
        <v>1.4000000000000001</v>
      </c>
      <c r="K75" s="47" t="s">
        <v>12</v>
      </c>
      <c r="M75" s="1"/>
      <c r="N75" s="1"/>
    </row>
    <row r="76" spans="1:14" s="7" customFormat="1" ht="18.350000000000001" x14ac:dyDescent="0.55000000000000004">
      <c r="A76" s="47">
        <v>42</v>
      </c>
      <c r="B76" s="48">
        <v>638300</v>
      </c>
      <c r="C76" s="48">
        <v>638400</v>
      </c>
      <c r="D76" s="49" t="s">
        <v>15</v>
      </c>
      <c r="E76" s="47" t="s">
        <v>11</v>
      </c>
      <c r="F76" s="50">
        <f t="shared" si="5"/>
        <v>100</v>
      </c>
      <c r="G76" s="51">
        <v>3.5</v>
      </c>
      <c r="H76" s="47">
        <v>0.04</v>
      </c>
      <c r="I76" s="47">
        <f t="shared" si="3"/>
        <v>350</v>
      </c>
      <c r="J76" s="51">
        <f t="shared" si="4"/>
        <v>14</v>
      </c>
      <c r="K76" s="47" t="s">
        <v>12</v>
      </c>
      <c r="M76" s="1"/>
      <c r="N76" s="1"/>
    </row>
    <row r="77" spans="1:14" s="7" customFormat="1" ht="18.350000000000001" x14ac:dyDescent="0.55000000000000004">
      <c r="A77" s="47">
        <v>43</v>
      </c>
      <c r="B77" s="48">
        <v>638550</v>
      </c>
      <c r="C77" s="48">
        <v>638600</v>
      </c>
      <c r="D77" s="49" t="s">
        <v>15</v>
      </c>
      <c r="E77" s="47" t="s">
        <v>11</v>
      </c>
      <c r="F77" s="50">
        <f t="shared" si="5"/>
        <v>50</v>
      </c>
      <c r="G77" s="51">
        <v>3.5</v>
      </c>
      <c r="H77" s="47">
        <v>0.04</v>
      </c>
      <c r="I77" s="47">
        <f t="shared" si="3"/>
        <v>175</v>
      </c>
      <c r="J77" s="51">
        <f t="shared" si="4"/>
        <v>7</v>
      </c>
      <c r="K77" s="47" t="s">
        <v>12</v>
      </c>
      <c r="M77" s="1"/>
      <c r="N77" s="1"/>
    </row>
    <row r="78" spans="1:14" s="7" customFormat="1" ht="18.350000000000001" x14ac:dyDescent="0.55000000000000004">
      <c r="A78" s="47">
        <v>44</v>
      </c>
      <c r="B78" s="48">
        <v>638700</v>
      </c>
      <c r="C78" s="48">
        <v>638750</v>
      </c>
      <c r="D78" s="49" t="s">
        <v>15</v>
      </c>
      <c r="E78" s="47" t="s">
        <v>11</v>
      </c>
      <c r="F78" s="50">
        <f t="shared" si="5"/>
        <v>50</v>
      </c>
      <c r="G78" s="51">
        <v>3.5</v>
      </c>
      <c r="H78" s="47">
        <v>0.04</v>
      </c>
      <c r="I78" s="47">
        <f t="shared" si="3"/>
        <v>175</v>
      </c>
      <c r="J78" s="51">
        <f t="shared" si="4"/>
        <v>7</v>
      </c>
      <c r="K78" s="47" t="s">
        <v>12</v>
      </c>
      <c r="M78" s="1"/>
      <c r="N78" s="1"/>
    </row>
    <row r="79" spans="1:14" s="7" customFormat="1" ht="18.350000000000001" x14ac:dyDescent="0.55000000000000004">
      <c r="A79" s="47">
        <v>45</v>
      </c>
      <c r="B79" s="48">
        <v>644000</v>
      </c>
      <c r="C79" s="48">
        <v>644050</v>
      </c>
      <c r="D79" s="49" t="s">
        <v>15</v>
      </c>
      <c r="E79" s="47" t="s">
        <v>11</v>
      </c>
      <c r="F79" s="50">
        <f t="shared" si="5"/>
        <v>50</v>
      </c>
      <c r="G79" s="51">
        <v>3.5</v>
      </c>
      <c r="H79" s="47">
        <v>0.04</v>
      </c>
      <c r="I79" s="47">
        <f t="shared" si="3"/>
        <v>175</v>
      </c>
      <c r="J79" s="51">
        <f t="shared" si="4"/>
        <v>7</v>
      </c>
      <c r="K79" s="47" t="s">
        <v>12</v>
      </c>
      <c r="M79" s="1"/>
      <c r="N79" s="1"/>
    </row>
    <row r="80" spans="1:14" ht="18.350000000000001" x14ac:dyDescent="0.6">
      <c r="A80" s="57"/>
      <c r="B80" s="57"/>
      <c r="C80" s="57"/>
      <c r="D80" s="57"/>
      <c r="E80" s="58" t="s">
        <v>16</v>
      </c>
      <c r="F80" s="59">
        <f>SUM(F3:F79)</f>
        <v>4903.0000000001164</v>
      </c>
      <c r="G80" s="58"/>
      <c r="H80" s="58"/>
      <c r="I80" s="58">
        <f>SUM(I3:I79)</f>
        <v>17929.000000000407</v>
      </c>
      <c r="J80" s="60">
        <f>SUM(J3:J79)</f>
        <v>717.16000000001623</v>
      </c>
      <c r="K80" s="57"/>
    </row>
  </sheetData>
  <mergeCells count="1">
    <mergeCell ref="A1:K1"/>
  </mergeCells>
  <printOptions horizontalCentered="1"/>
  <pageMargins left="0.39370078740157483" right="0.39370078740157483" top="0.78740157480314965" bottom="0.78740157480314965" header="0.31496062992125984" footer="0.31496062992125984"/>
  <pageSetup paperSize="9" scale="93" fitToHeight="2" orientation="portrait"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F6DC-9713-4CD3-958C-449627EBE5EE}">
  <dimension ref="A1:J30"/>
  <sheetViews>
    <sheetView view="pageBreakPreview" zoomScaleNormal="85" zoomScaleSheetLayoutView="100" workbookViewId="0">
      <pane xSplit="2" ySplit="3" topLeftCell="C4" activePane="bottomRight" state="frozen"/>
      <selection pane="topRight" activeCell="C1" sqref="C1"/>
      <selection pane="bottomLeft" activeCell="A4" sqref="A4"/>
      <selection pane="bottomRight" activeCell="B5" sqref="B5"/>
    </sheetView>
  </sheetViews>
  <sheetFormatPr defaultColWidth="8.77734375" defaultRowHeight="21.6" x14ac:dyDescent="0.3"/>
  <cols>
    <col min="1" max="1" width="9" style="81" bestFit="1" customWidth="1"/>
    <col min="2" max="2" width="108.77734375" style="81" customWidth="1"/>
    <col min="3" max="4" width="11.21875" style="81" customWidth="1"/>
    <col min="5" max="5" width="15.5546875" style="81" bestFit="1" customWidth="1"/>
    <col min="6" max="6" width="16.77734375" style="81" bestFit="1" customWidth="1"/>
    <col min="7" max="7" width="9.21875" style="81" bestFit="1" customWidth="1"/>
    <col min="8" max="8" width="13.21875" style="81" customWidth="1"/>
    <col min="9" max="9" width="14.77734375" style="87" customWidth="1"/>
    <col min="10" max="16384" width="8.77734375" style="81"/>
  </cols>
  <sheetData>
    <row r="1" spans="1:10" ht="26.85" x14ac:dyDescent="0.3">
      <c r="A1" s="328" t="s">
        <v>52</v>
      </c>
      <c r="B1" s="329"/>
      <c r="C1" s="329"/>
      <c r="D1" s="329"/>
      <c r="E1" s="329"/>
      <c r="F1" s="329"/>
      <c r="G1" s="330"/>
    </row>
    <row r="2" spans="1:10" x14ac:dyDescent="0.3">
      <c r="A2" s="106" t="s">
        <v>18</v>
      </c>
      <c r="B2" s="107" t="s">
        <v>19</v>
      </c>
      <c r="C2" s="107" t="s">
        <v>20</v>
      </c>
      <c r="D2" s="107" t="s">
        <v>21</v>
      </c>
      <c r="E2" s="108" t="s">
        <v>22</v>
      </c>
      <c r="F2" s="108" t="s">
        <v>23</v>
      </c>
      <c r="G2" s="109" t="s">
        <v>24</v>
      </c>
    </row>
    <row r="3" spans="1:10" x14ac:dyDescent="0.3">
      <c r="A3" s="110" t="s">
        <v>53</v>
      </c>
      <c r="B3" s="111" t="s">
        <v>54</v>
      </c>
      <c r="C3" s="112"/>
      <c r="D3" s="112"/>
      <c r="E3" s="113"/>
      <c r="F3" s="113"/>
      <c r="G3" s="114"/>
    </row>
    <row r="4" spans="1:10" ht="86.4" x14ac:dyDescent="0.3">
      <c r="A4" s="115">
        <v>1</v>
      </c>
      <c r="B4" s="82" t="s">
        <v>55</v>
      </c>
      <c r="C4" s="83" t="s">
        <v>27</v>
      </c>
      <c r="D4" s="84"/>
      <c r="E4" s="85">
        <f>[2]Junctions!K8</f>
        <v>450</v>
      </c>
      <c r="F4" s="85">
        <f t="shared" ref="F4:F22" si="0">D4*E4</f>
        <v>0</v>
      </c>
      <c r="G4" s="86"/>
    </row>
    <row r="5" spans="1:10" ht="108" x14ac:dyDescent="0.3">
      <c r="A5" s="115">
        <v>2</v>
      </c>
      <c r="B5" s="82" t="s">
        <v>56</v>
      </c>
      <c r="C5" s="83" t="s">
        <v>27</v>
      </c>
      <c r="D5" s="85"/>
      <c r="E5" s="85">
        <f>[2]Junctions!L8</f>
        <v>225</v>
      </c>
      <c r="F5" s="85">
        <f t="shared" si="0"/>
        <v>0</v>
      </c>
      <c r="G5" s="86"/>
    </row>
    <row r="6" spans="1:10" ht="302.39999999999998" x14ac:dyDescent="0.3">
      <c r="A6" s="115">
        <v>3</v>
      </c>
      <c r="B6" s="88" t="s">
        <v>57</v>
      </c>
      <c r="C6" s="83" t="s">
        <v>27</v>
      </c>
      <c r="D6" s="85"/>
      <c r="E6" s="85">
        <f>[2]Junctions!M8</f>
        <v>225</v>
      </c>
      <c r="F6" s="85">
        <f t="shared" si="0"/>
        <v>0</v>
      </c>
      <c r="G6" s="86"/>
    </row>
    <row r="7" spans="1:10" ht="324" x14ac:dyDescent="0.3">
      <c r="A7" s="115">
        <v>4</v>
      </c>
      <c r="B7" s="88" t="s">
        <v>58</v>
      </c>
      <c r="C7" s="83" t="s">
        <v>27</v>
      </c>
      <c r="D7" s="85"/>
      <c r="E7" s="85">
        <f>[2]Junctions!N8</f>
        <v>90</v>
      </c>
      <c r="F7" s="85">
        <f t="shared" si="0"/>
        <v>0</v>
      </c>
      <c r="G7" s="86"/>
    </row>
    <row r="8" spans="1:10" ht="324" x14ac:dyDescent="0.3">
      <c r="A8" s="115">
        <v>5</v>
      </c>
      <c r="B8" s="88" t="s">
        <v>59</v>
      </c>
      <c r="C8" s="83" t="s">
        <v>27</v>
      </c>
      <c r="D8" s="85"/>
      <c r="E8" s="85">
        <f>[2]Junctions!P8</f>
        <v>112.5</v>
      </c>
      <c r="F8" s="85">
        <f t="shared" si="0"/>
        <v>0</v>
      </c>
      <c r="G8" s="86"/>
    </row>
    <row r="9" spans="1:10" ht="64.8" x14ac:dyDescent="0.3">
      <c r="A9" s="115">
        <v>7</v>
      </c>
      <c r="B9" s="89" t="s">
        <v>60</v>
      </c>
      <c r="C9" s="83" t="s">
        <v>25</v>
      </c>
      <c r="D9" s="90"/>
      <c r="E9" s="85">
        <f>'[2]SR Flexible Pavement'!J20+[2]Junctions!O8</f>
        <v>1363.5</v>
      </c>
      <c r="F9" s="85">
        <f t="shared" si="0"/>
        <v>0</v>
      </c>
      <c r="G9" s="86"/>
    </row>
    <row r="10" spans="1:10" ht="280.8" x14ac:dyDescent="0.3">
      <c r="A10" s="115">
        <v>8</v>
      </c>
      <c r="B10" s="116" t="s">
        <v>61</v>
      </c>
      <c r="C10" s="91" t="s">
        <v>26</v>
      </c>
      <c r="D10" s="92"/>
      <c r="E10" s="85">
        <f>'[2]SR Flexible Pavement'!K20+'[2]SR Flexible Pavement'!M20+[2]Junctions!Q8</f>
        <v>5942</v>
      </c>
      <c r="F10" s="85">
        <f t="shared" si="0"/>
        <v>0</v>
      </c>
      <c r="G10" s="93"/>
      <c r="H10" s="87"/>
      <c r="I10" s="87">
        <f>D10*6%</f>
        <v>0</v>
      </c>
    </row>
    <row r="11" spans="1:10" ht="259.2" x14ac:dyDescent="0.3">
      <c r="A11" s="115">
        <v>9</v>
      </c>
      <c r="B11" s="89" t="s">
        <v>62</v>
      </c>
      <c r="C11" s="83" t="s">
        <v>27</v>
      </c>
      <c r="D11" s="92"/>
      <c r="E11" s="85">
        <f>'[2]SR Flexible Pavement'!L20+[2]Junctions!R8</f>
        <v>113.175</v>
      </c>
      <c r="F11" s="85">
        <f t="shared" si="0"/>
        <v>0</v>
      </c>
      <c r="G11" s="93"/>
      <c r="H11" s="87"/>
    </row>
    <row r="12" spans="1:10" ht="302.39999999999998" x14ac:dyDescent="0.3">
      <c r="A12" s="115">
        <v>10</v>
      </c>
      <c r="B12" s="116" t="s">
        <v>63</v>
      </c>
      <c r="C12" s="91" t="s">
        <v>27</v>
      </c>
      <c r="D12" s="94"/>
      <c r="E12" s="84">
        <f>+'[2]SR Flexible Pavement'!N20+[2]Junctions!S8</f>
        <v>167.43374</v>
      </c>
      <c r="F12" s="85">
        <f t="shared" si="0"/>
        <v>0</v>
      </c>
      <c r="G12" s="93"/>
      <c r="H12" s="87"/>
    </row>
    <row r="13" spans="1:10" x14ac:dyDescent="0.3">
      <c r="A13" s="110" t="s">
        <v>64</v>
      </c>
      <c r="B13" s="111" t="s">
        <v>65</v>
      </c>
      <c r="C13" s="112"/>
      <c r="D13" s="112"/>
      <c r="E13" s="113"/>
      <c r="F13" s="113"/>
      <c r="G13" s="114"/>
    </row>
    <row r="14" spans="1:10" s="117" customFormat="1" ht="194.4" x14ac:dyDescent="0.3">
      <c r="A14" s="95">
        <v>1</v>
      </c>
      <c r="B14" s="96" t="s">
        <v>66</v>
      </c>
      <c r="C14" s="97" t="s">
        <v>27</v>
      </c>
      <c r="D14" s="94"/>
      <c r="E14" s="98">
        <f>'[2]Line drain'!P22</f>
        <v>756.04199999999992</v>
      </c>
      <c r="F14" s="85">
        <f t="shared" si="0"/>
        <v>0</v>
      </c>
      <c r="G14" s="99"/>
      <c r="J14" s="100"/>
    </row>
    <row r="15" spans="1:10" s="117" customFormat="1" ht="151.19999999999999" x14ac:dyDescent="0.3">
      <c r="A15" s="95">
        <v>2</v>
      </c>
      <c r="B15" s="101" t="s">
        <v>67</v>
      </c>
      <c r="C15" s="97" t="s">
        <v>27</v>
      </c>
      <c r="D15" s="94"/>
      <c r="E15" s="98">
        <f>'[2]Line drain'!W22</f>
        <v>280.82400000000001</v>
      </c>
      <c r="F15" s="85">
        <f t="shared" si="0"/>
        <v>0</v>
      </c>
      <c r="G15" s="99"/>
      <c r="J15" s="100"/>
    </row>
    <row r="16" spans="1:10" s="117" customFormat="1" ht="172.8" x14ac:dyDescent="0.3">
      <c r="A16" s="95">
        <v>3</v>
      </c>
      <c r="B16" s="101" t="s">
        <v>68</v>
      </c>
      <c r="C16" s="97" t="s">
        <v>27</v>
      </c>
      <c r="D16" s="94"/>
      <c r="E16" s="98">
        <f>'[2]Line drain'!Q22</f>
        <v>75.599999999999994</v>
      </c>
      <c r="F16" s="85">
        <f t="shared" si="0"/>
        <v>0</v>
      </c>
      <c r="G16" s="99"/>
      <c r="J16" s="100"/>
    </row>
    <row r="17" spans="1:10" s="117" customFormat="1" ht="172.8" x14ac:dyDescent="0.3">
      <c r="A17" s="95">
        <v>4</v>
      </c>
      <c r="B17" s="101" t="s">
        <v>69</v>
      </c>
      <c r="C17" s="97" t="s">
        <v>27</v>
      </c>
      <c r="D17" s="94"/>
      <c r="E17" s="98">
        <f>'[2]Line drain'!R22</f>
        <v>100.44</v>
      </c>
      <c r="F17" s="85">
        <f t="shared" si="0"/>
        <v>0</v>
      </c>
      <c r="G17" s="99"/>
      <c r="J17" s="100"/>
    </row>
    <row r="18" spans="1:10" s="117" customFormat="1" ht="172.8" x14ac:dyDescent="0.3">
      <c r="A18" s="95">
        <v>5</v>
      </c>
      <c r="B18" s="101" t="s">
        <v>70</v>
      </c>
      <c r="C18" s="97" t="s">
        <v>27</v>
      </c>
      <c r="D18" s="94"/>
      <c r="E18" s="98">
        <f>'[2]Line drain'!S22+'[2]Line drain'!T22</f>
        <v>123.12480000000002</v>
      </c>
      <c r="F18" s="85">
        <f t="shared" si="0"/>
        <v>0</v>
      </c>
      <c r="G18" s="99"/>
      <c r="J18" s="100"/>
    </row>
    <row r="19" spans="1:10" s="117" customFormat="1" ht="324" x14ac:dyDescent="0.3">
      <c r="A19" s="95">
        <v>6</v>
      </c>
      <c r="B19" s="101" t="s">
        <v>71</v>
      </c>
      <c r="C19" s="97" t="s">
        <v>72</v>
      </c>
      <c r="D19" s="94"/>
      <c r="E19" s="98">
        <f>'[2]Line drain'!U22</f>
        <v>11.178240000000001</v>
      </c>
      <c r="F19" s="85">
        <f t="shared" si="0"/>
        <v>0</v>
      </c>
      <c r="G19" s="99"/>
      <c r="J19" s="100"/>
    </row>
    <row r="20" spans="1:10" s="117" customFormat="1" ht="129.6" customHeight="1" x14ac:dyDescent="0.3">
      <c r="A20" s="95">
        <v>7</v>
      </c>
      <c r="B20" s="101" t="s">
        <v>73</v>
      </c>
      <c r="C20" s="97" t="s">
        <v>74</v>
      </c>
      <c r="D20" s="94"/>
      <c r="E20" s="98">
        <f>'[2]Line drain'!V22</f>
        <v>432</v>
      </c>
      <c r="F20" s="85">
        <f t="shared" si="0"/>
        <v>0</v>
      </c>
      <c r="G20" s="99"/>
      <c r="J20" s="100"/>
    </row>
    <row r="21" spans="1:10" x14ac:dyDescent="0.3">
      <c r="A21" s="110" t="s">
        <v>75</v>
      </c>
      <c r="B21" s="111" t="s">
        <v>76</v>
      </c>
      <c r="C21" s="112"/>
      <c r="D21" s="112"/>
      <c r="E21" s="113"/>
      <c r="F21" s="113"/>
      <c r="G21" s="114"/>
    </row>
    <row r="22" spans="1:10" s="104" customFormat="1" ht="79.849999999999994" customHeight="1" thickBot="1" x14ac:dyDescent="0.35">
      <c r="A22" s="95">
        <v>1</v>
      </c>
      <c r="B22" s="102" t="s">
        <v>77</v>
      </c>
      <c r="C22" s="97" t="s">
        <v>78</v>
      </c>
      <c r="D22" s="103"/>
      <c r="E22" s="98">
        <v>1</v>
      </c>
      <c r="F22" s="85">
        <f t="shared" si="0"/>
        <v>0</v>
      </c>
      <c r="G22" s="99"/>
    </row>
    <row r="23" spans="1:10" ht="22.25" thickBot="1" x14ac:dyDescent="0.35">
      <c r="A23" s="118"/>
      <c r="B23" s="119" t="s">
        <v>28</v>
      </c>
      <c r="C23" s="119"/>
      <c r="D23" s="119"/>
      <c r="E23" s="119"/>
      <c r="F23" s="120">
        <f>SUM(F4:F22)</f>
        <v>0</v>
      </c>
      <c r="G23" s="105"/>
      <c r="I23" s="121"/>
    </row>
    <row r="26" spans="1:10" x14ac:dyDescent="0.3">
      <c r="A26" s="74" t="s">
        <v>35</v>
      </c>
      <c r="B26" s="74"/>
      <c r="C26" s="74"/>
      <c r="D26" s="74"/>
      <c r="E26" s="74"/>
      <c r="F26" s="74"/>
      <c r="G26" s="74"/>
    </row>
    <row r="27" spans="1:10" x14ac:dyDescent="0.3">
      <c r="A27" s="38"/>
      <c r="B27" s="37"/>
      <c r="C27" s="37"/>
      <c r="D27" s="37"/>
      <c r="E27" s="37"/>
      <c r="F27" s="39"/>
      <c r="G27" s="40"/>
    </row>
    <row r="28" spans="1:10" x14ac:dyDescent="0.3">
      <c r="A28" s="75" t="s">
        <v>36</v>
      </c>
      <c r="B28" s="75"/>
      <c r="C28" s="75"/>
      <c r="D28" s="75"/>
      <c r="E28" s="75"/>
      <c r="F28" s="75"/>
      <c r="G28" s="75"/>
    </row>
    <row r="29" spans="1:10" x14ac:dyDescent="0.3">
      <c r="A29" s="75"/>
      <c r="B29" s="75"/>
      <c r="C29" s="75"/>
      <c r="D29" s="75"/>
      <c r="E29" s="75"/>
      <c r="F29" s="75"/>
      <c r="G29" s="75"/>
    </row>
    <row r="30" spans="1:10" x14ac:dyDescent="0.3">
      <c r="A30" s="75"/>
      <c r="B30" s="75"/>
      <c r="C30" s="75"/>
      <c r="D30" s="75"/>
      <c r="E30" s="75"/>
      <c r="F30" s="75"/>
      <c r="G30" s="75"/>
    </row>
  </sheetData>
  <mergeCells count="3">
    <mergeCell ref="A1:G1"/>
    <mergeCell ref="A26:G26"/>
    <mergeCell ref="A28:G30"/>
  </mergeCells>
  <printOptions horizontalCentered="1"/>
  <pageMargins left="0.59055118110236227" right="0.59055118110236227" top="0.59055118110236227" bottom="0.59055118110236227" header="0.31496062992125984" footer="0.31496062992125984"/>
  <pageSetup paperSize="9" scale="73" fitToHeight="8" orientation="landscape" r:id="rId1"/>
  <headerFooter>
    <oddHeader>&amp;A</oddHeader>
    <oddFooter>Page &amp;P of &amp;N</oddFooter>
  </headerFooter>
  <rowBreaks count="1" manualBreakCount="1">
    <brk id="2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D084-83DA-4199-BC49-A0663ADAD41F}">
  <sheetPr>
    <pageSetUpPr fitToPage="1"/>
  </sheetPr>
  <dimension ref="A1:Q24"/>
  <sheetViews>
    <sheetView view="pageBreakPreview" zoomScaleNormal="100" zoomScaleSheetLayoutView="100" workbookViewId="0">
      <pane ySplit="4" topLeftCell="A5" activePane="bottomLeft" state="frozen"/>
      <selection pane="bottomLeft" activeCell="G6" sqref="G6"/>
    </sheetView>
  </sheetViews>
  <sheetFormatPr defaultColWidth="8.77734375" defaultRowHeight="21.6" x14ac:dyDescent="0.7"/>
  <cols>
    <col min="1" max="1" width="8.77734375" style="125"/>
    <col min="2" max="3" width="10.21875" style="125" customWidth="1"/>
    <col min="4" max="4" width="8.77734375" style="125"/>
    <col min="5" max="5" width="10" style="125" bestFit="1" customWidth="1"/>
    <col min="6" max="10" width="9.21875" style="125" customWidth="1"/>
    <col min="11" max="12" width="11.21875" style="125" customWidth="1"/>
    <col min="13" max="13" width="14.77734375" style="125" customWidth="1"/>
    <col min="14" max="14" width="11.21875" style="125" customWidth="1"/>
    <col min="15" max="15" width="11.77734375" style="125" customWidth="1"/>
    <col min="16" max="16" width="15" style="125" customWidth="1"/>
    <col min="17" max="17" width="26.5546875" style="125" customWidth="1"/>
    <col min="18" max="16384" width="8.77734375" style="125"/>
  </cols>
  <sheetData>
    <row r="1" spans="1:17" ht="22.25" thickBot="1" x14ac:dyDescent="0.75">
      <c r="A1" s="122" t="s">
        <v>79</v>
      </c>
      <c r="B1" s="123"/>
      <c r="C1" s="123"/>
      <c r="D1" s="123"/>
      <c r="E1" s="123"/>
      <c r="F1" s="123"/>
      <c r="G1" s="123"/>
      <c r="H1" s="123"/>
      <c r="I1" s="123"/>
      <c r="J1" s="123"/>
      <c r="K1" s="123"/>
      <c r="L1" s="123"/>
      <c r="M1" s="123"/>
      <c r="N1" s="123"/>
      <c r="O1" s="123"/>
      <c r="P1" s="123"/>
      <c r="Q1" s="124"/>
    </row>
    <row r="2" spans="1:17" x14ac:dyDescent="0.7">
      <c r="A2" s="126" t="s">
        <v>80</v>
      </c>
      <c r="B2" s="127"/>
      <c r="C2" s="127"/>
      <c r="D2" s="127"/>
      <c r="E2" s="127"/>
      <c r="F2" s="127"/>
      <c r="G2" s="127"/>
      <c r="H2" s="127"/>
      <c r="I2" s="127"/>
      <c r="J2" s="127"/>
      <c r="K2" s="127"/>
      <c r="L2" s="127"/>
      <c r="M2" s="127"/>
      <c r="N2" s="127"/>
      <c r="O2" s="127"/>
      <c r="P2" s="128"/>
      <c r="Q2" s="129"/>
    </row>
    <row r="3" spans="1:17" x14ac:dyDescent="0.7">
      <c r="A3" s="190" t="s">
        <v>81</v>
      </c>
      <c r="B3" s="191" t="s">
        <v>82</v>
      </c>
      <c r="C3" s="191"/>
      <c r="D3" s="192" t="s">
        <v>4</v>
      </c>
      <c r="E3" s="193" t="s">
        <v>83</v>
      </c>
      <c r="F3" s="193" t="s">
        <v>84</v>
      </c>
      <c r="G3" s="193" t="s">
        <v>85</v>
      </c>
      <c r="H3" s="193" t="s">
        <v>86</v>
      </c>
      <c r="I3" s="193" t="s">
        <v>87</v>
      </c>
      <c r="J3" s="193" t="s">
        <v>88</v>
      </c>
      <c r="K3" s="193" t="s">
        <v>89</v>
      </c>
      <c r="L3" s="193" t="s">
        <v>87</v>
      </c>
      <c r="M3" s="193" t="s">
        <v>89</v>
      </c>
      <c r="N3" s="194" t="s">
        <v>90</v>
      </c>
      <c r="O3" s="195" t="s">
        <v>9</v>
      </c>
      <c r="P3" s="196" t="s">
        <v>91</v>
      </c>
      <c r="Q3" s="197" t="s">
        <v>92</v>
      </c>
    </row>
    <row r="4" spans="1:17" ht="22.25" thickBot="1" x14ac:dyDescent="0.75">
      <c r="A4" s="198"/>
      <c r="B4" s="199" t="s">
        <v>2</v>
      </c>
      <c r="C4" s="200" t="s">
        <v>3</v>
      </c>
      <c r="D4" s="201"/>
      <c r="E4" s="193"/>
      <c r="F4" s="193"/>
      <c r="G4" s="193"/>
      <c r="H4" s="193"/>
      <c r="I4" s="193"/>
      <c r="J4" s="193"/>
      <c r="K4" s="193"/>
      <c r="L4" s="193"/>
      <c r="M4" s="193"/>
      <c r="N4" s="194"/>
      <c r="O4" s="202"/>
      <c r="P4" s="203"/>
      <c r="Q4" s="204"/>
    </row>
    <row r="5" spans="1:17" ht="22.25" thickBot="1" x14ac:dyDescent="0.75">
      <c r="A5" s="130" t="s">
        <v>93</v>
      </c>
      <c r="B5" s="131"/>
      <c r="C5" s="131"/>
      <c r="D5" s="131"/>
      <c r="E5" s="131"/>
      <c r="F5" s="131"/>
      <c r="G5" s="131"/>
      <c r="H5" s="131"/>
      <c r="I5" s="131"/>
      <c r="J5" s="131"/>
      <c r="K5" s="131"/>
      <c r="L5" s="131"/>
      <c r="M5" s="131"/>
      <c r="N5" s="131"/>
      <c r="O5" s="131"/>
      <c r="P5" s="131"/>
      <c r="Q5" s="132"/>
    </row>
    <row r="6" spans="1:17" s="104" customFormat="1" x14ac:dyDescent="0.3">
      <c r="A6" s="133">
        <v>1</v>
      </c>
      <c r="B6" s="134">
        <v>637710</v>
      </c>
      <c r="C6" s="134">
        <v>637720</v>
      </c>
      <c r="D6" s="135" t="s">
        <v>10</v>
      </c>
      <c r="E6" s="136">
        <f t="shared" ref="E6:E11" si="0">(C6-B6)</f>
        <v>10</v>
      </c>
      <c r="F6" s="136">
        <v>3.5</v>
      </c>
      <c r="G6" s="136"/>
      <c r="H6" s="137"/>
      <c r="I6" s="136">
        <v>0.05</v>
      </c>
      <c r="J6" s="138">
        <f>E6*F6</f>
        <v>35</v>
      </c>
      <c r="K6" s="139">
        <f>E6*F6</f>
        <v>35</v>
      </c>
      <c r="L6" s="140">
        <f>E6*F6*I6</f>
        <v>1.75</v>
      </c>
      <c r="M6" s="139"/>
      <c r="N6" s="141">
        <f t="shared" ref="N6" si="1">E6*F6*H6/1000</f>
        <v>0</v>
      </c>
      <c r="O6" s="142" t="s">
        <v>94</v>
      </c>
      <c r="P6" s="143" t="s">
        <v>95</v>
      </c>
      <c r="Q6" s="144" t="s">
        <v>96</v>
      </c>
    </row>
    <row r="7" spans="1:17" s="104" customFormat="1" x14ac:dyDescent="0.3">
      <c r="A7" s="145">
        <v>2</v>
      </c>
      <c r="B7" s="134">
        <v>637710</v>
      </c>
      <c r="C7" s="134">
        <v>637720</v>
      </c>
      <c r="D7" s="135" t="s">
        <v>15</v>
      </c>
      <c r="E7" s="136">
        <f t="shared" si="0"/>
        <v>10</v>
      </c>
      <c r="F7" s="136">
        <v>3.5</v>
      </c>
      <c r="G7" s="136"/>
      <c r="H7" s="146"/>
      <c r="I7" s="136">
        <v>0.05</v>
      </c>
      <c r="J7" s="138">
        <f>E7*F7</f>
        <v>35</v>
      </c>
      <c r="K7" s="139">
        <f t="shared" ref="K7:K11" si="2">E7*F7</f>
        <v>35</v>
      </c>
      <c r="L7" s="140">
        <f t="shared" ref="L7:L11" si="3">E7*F7*I7</f>
        <v>1.75</v>
      </c>
      <c r="M7" s="139"/>
      <c r="N7" s="141"/>
      <c r="O7" s="147" t="s">
        <v>94</v>
      </c>
      <c r="P7" s="148" t="s">
        <v>95</v>
      </c>
      <c r="Q7" s="149" t="s">
        <v>96</v>
      </c>
    </row>
    <row r="8" spans="1:17" s="104" customFormat="1" x14ac:dyDescent="0.3">
      <c r="A8" s="145">
        <v>3</v>
      </c>
      <c r="B8" s="150">
        <v>647230</v>
      </c>
      <c r="C8" s="150">
        <v>647300</v>
      </c>
      <c r="D8" s="151" t="s">
        <v>10</v>
      </c>
      <c r="E8" s="136">
        <f t="shared" si="0"/>
        <v>70</v>
      </c>
      <c r="F8" s="152">
        <v>7</v>
      </c>
      <c r="G8" s="136"/>
      <c r="H8" s="153"/>
      <c r="I8" s="154">
        <v>0.05</v>
      </c>
      <c r="J8" s="155">
        <f>E8*F8</f>
        <v>490</v>
      </c>
      <c r="K8" s="139">
        <f t="shared" si="2"/>
        <v>490</v>
      </c>
      <c r="L8" s="140">
        <f t="shared" si="3"/>
        <v>24.5</v>
      </c>
      <c r="M8" s="153"/>
      <c r="N8" s="156"/>
      <c r="O8" s="147" t="s">
        <v>94</v>
      </c>
      <c r="P8" s="148" t="s">
        <v>95</v>
      </c>
      <c r="Q8" s="149" t="s">
        <v>97</v>
      </c>
    </row>
    <row r="9" spans="1:17" s="104" customFormat="1" x14ac:dyDescent="0.3">
      <c r="A9" s="145">
        <v>4</v>
      </c>
      <c r="B9" s="134">
        <v>676670</v>
      </c>
      <c r="C9" s="134">
        <v>676740</v>
      </c>
      <c r="D9" s="135" t="s">
        <v>10</v>
      </c>
      <c r="E9" s="136">
        <f t="shared" si="0"/>
        <v>70</v>
      </c>
      <c r="F9" s="136">
        <v>3.5</v>
      </c>
      <c r="G9" s="136"/>
      <c r="H9" s="146"/>
      <c r="I9" s="136">
        <v>0.05</v>
      </c>
      <c r="J9" s="138">
        <f t="shared" ref="J9:J11" si="4">E9*F9</f>
        <v>245</v>
      </c>
      <c r="K9" s="139">
        <f t="shared" si="2"/>
        <v>245</v>
      </c>
      <c r="L9" s="140">
        <f t="shared" si="3"/>
        <v>12.25</v>
      </c>
      <c r="M9" s="139"/>
      <c r="N9" s="141"/>
      <c r="O9" s="147" t="s">
        <v>94</v>
      </c>
      <c r="P9" s="148" t="s">
        <v>95</v>
      </c>
      <c r="Q9" s="149" t="s">
        <v>96</v>
      </c>
    </row>
    <row r="10" spans="1:17" s="104" customFormat="1" x14ac:dyDescent="0.3">
      <c r="A10" s="145">
        <v>5</v>
      </c>
      <c r="B10" s="134">
        <v>676805</v>
      </c>
      <c r="C10" s="134">
        <v>676820</v>
      </c>
      <c r="D10" s="135" t="s">
        <v>10</v>
      </c>
      <c r="E10" s="136">
        <f t="shared" si="0"/>
        <v>15</v>
      </c>
      <c r="F10" s="136">
        <v>3.5</v>
      </c>
      <c r="G10" s="136"/>
      <c r="H10" s="146"/>
      <c r="I10" s="136">
        <v>0.05</v>
      </c>
      <c r="J10" s="138">
        <f t="shared" si="4"/>
        <v>52.5</v>
      </c>
      <c r="K10" s="139">
        <f t="shared" si="2"/>
        <v>52.5</v>
      </c>
      <c r="L10" s="140">
        <f t="shared" si="3"/>
        <v>2.625</v>
      </c>
      <c r="M10" s="139"/>
      <c r="N10" s="141"/>
      <c r="O10" s="147" t="s">
        <v>94</v>
      </c>
      <c r="P10" s="148" t="s">
        <v>95</v>
      </c>
      <c r="Q10" s="149" t="s">
        <v>96</v>
      </c>
    </row>
    <row r="11" spans="1:17" s="104" customFormat="1" x14ac:dyDescent="0.3">
      <c r="A11" s="145">
        <v>6</v>
      </c>
      <c r="B11" s="134">
        <v>676820</v>
      </c>
      <c r="C11" s="134">
        <v>676836</v>
      </c>
      <c r="D11" s="135" t="s">
        <v>10</v>
      </c>
      <c r="E11" s="136">
        <f t="shared" si="0"/>
        <v>16</v>
      </c>
      <c r="F11" s="136">
        <v>3.5</v>
      </c>
      <c r="G11" s="136"/>
      <c r="H11" s="146"/>
      <c r="I11" s="136">
        <v>0.05</v>
      </c>
      <c r="J11" s="138">
        <f t="shared" si="4"/>
        <v>56</v>
      </c>
      <c r="K11" s="139">
        <f t="shared" si="2"/>
        <v>56</v>
      </c>
      <c r="L11" s="140">
        <f t="shared" si="3"/>
        <v>2.8000000000000003</v>
      </c>
      <c r="M11" s="139"/>
      <c r="N11" s="141"/>
      <c r="O11" s="147" t="s">
        <v>94</v>
      </c>
      <c r="P11" s="148" t="s">
        <v>95</v>
      </c>
      <c r="Q11" s="149" t="s">
        <v>96</v>
      </c>
    </row>
    <row r="12" spans="1:17" s="104" customFormat="1" ht="22.25" thickBot="1" x14ac:dyDescent="0.35">
      <c r="A12" s="157"/>
      <c r="B12" s="158"/>
      <c r="C12" s="158"/>
      <c r="D12" s="159"/>
      <c r="E12" s="160"/>
      <c r="F12" s="160"/>
      <c r="G12" s="161"/>
      <c r="H12" s="162"/>
      <c r="I12" s="163"/>
      <c r="J12" s="164"/>
      <c r="K12" s="165"/>
      <c r="L12" s="166"/>
      <c r="M12" s="167"/>
      <c r="N12" s="168"/>
      <c r="O12" s="169"/>
      <c r="P12" s="170"/>
      <c r="Q12" s="171"/>
    </row>
    <row r="13" spans="1:17" ht="22.25" thickBot="1" x14ac:dyDescent="0.75">
      <c r="A13" s="130" t="s">
        <v>98</v>
      </c>
      <c r="B13" s="131"/>
      <c r="C13" s="131"/>
      <c r="D13" s="131"/>
      <c r="E13" s="131"/>
      <c r="F13" s="131"/>
      <c r="G13" s="131"/>
      <c r="H13" s="131"/>
      <c r="I13" s="131"/>
      <c r="J13" s="131"/>
      <c r="K13" s="131"/>
      <c r="L13" s="131"/>
      <c r="M13" s="131"/>
      <c r="N13" s="131"/>
      <c r="O13" s="131"/>
      <c r="P13" s="131"/>
      <c r="Q13" s="132"/>
    </row>
    <row r="14" spans="1:17" s="104" customFormat="1" x14ac:dyDescent="0.3">
      <c r="A14" s="133">
        <v>1</v>
      </c>
      <c r="B14" s="172"/>
      <c r="C14" s="172"/>
      <c r="D14" s="173"/>
      <c r="E14" s="173"/>
      <c r="F14" s="173"/>
      <c r="G14" s="136"/>
      <c r="H14" s="137"/>
      <c r="I14" s="137"/>
      <c r="J14" s="137"/>
      <c r="K14" s="139"/>
      <c r="L14" s="140"/>
      <c r="M14" s="139"/>
      <c r="N14" s="141"/>
      <c r="O14" s="142"/>
      <c r="P14" s="143"/>
      <c r="Q14" s="144"/>
    </row>
    <row r="15" spans="1:17" s="104" customFormat="1" x14ac:dyDescent="0.3">
      <c r="A15" s="145">
        <v>2</v>
      </c>
      <c r="B15" s="134">
        <v>637700</v>
      </c>
      <c r="C15" s="134">
        <v>638000</v>
      </c>
      <c r="D15" s="135" t="s">
        <v>10</v>
      </c>
      <c r="E15" s="136">
        <f>(C15-B15)</f>
        <v>300</v>
      </c>
      <c r="F15" s="136">
        <v>3.5</v>
      </c>
      <c r="G15" s="136"/>
      <c r="H15" s="146">
        <v>0.04</v>
      </c>
      <c r="I15" s="136">
        <v>0</v>
      </c>
      <c r="J15" s="136"/>
      <c r="K15" s="139"/>
      <c r="L15" s="140">
        <v>0</v>
      </c>
      <c r="M15" s="139">
        <f>E15*F15</f>
        <v>1050</v>
      </c>
      <c r="N15" s="141">
        <f>E15*F15*H15</f>
        <v>42</v>
      </c>
      <c r="O15" s="147" t="s">
        <v>94</v>
      </c>
      <c r="P15" s="148" t="s">
        <v>95</v>
      </c>
      <c r="Q15" s="149" t="s">
        <v>96</v>
      </c>
    </row>
    <row r="16" spans="1:17" s="104" customFormat="1" x14ac:dyDescent="0.3">
      <c r="A16" s="145">
        <v>3</v>
      </c>
      <c r="B16" s="150">
        <v>637200</v>
      </c>
      <c r="C16" s="150">
        <v>637710</v>
      </c>
      <c r="D16" s="151" t="s">
        <v>15</v>
      </c>
      <c r="E16" s="136">
        <f>(C16-B16)</f>
        <v>510</v>
      </c>
      <c r="F16" s="174">
        <v>3.5</v>
      </c>
      <c r="G16" s="174"/>
      <c r="H16" s="146">
        <v>0.04</v>
      </c>
      <c r="I16" s="174">
        <v>0</v>
      </c>
      <c r="J16" s="136"/>
      <c r="K16" s="139"/>
      <c r="L16" s="175">
        <v>0</v>
      </c>
      <c r="M16" s="139">
        <f t="shared" ref="M16:M19" si="5">E16*F16</f>
        <v>1785</v>
      </c>
      <c r="N16" s="141">
        <f>E16*F16*H16</f>
        <v>71.400000000000006</v>
      </c>
      <c r="O16" s="147" t="s">
        <v>94</v>
      </c>
      <c r="P16" s="148" t="s">
        <v>95</v>
      </c>
      <c r="Q16" s="149" t="s">
        <v>96</v>
      </c>
    </row>
    <row r="17" spans="1:17" s="104" customFormat="1" x14ac:dyDescent="0.3">
      <c r="A17" s="145">
        <v>4</v>
      </c>
      <c r="B17" s="150">
        <v>647230</v>
      </c>
      <c r="C17" s="150">
        <v>647300</v>
      </c>
      <c r="D17" s="151" t="s">
        <v>10</v>
      </c>
      <c r="E17" s="136">
        <f t="shared" ref="E17" si="6">(C17-B17)</f>
        <v>70</v>
      </c>
      <c r="F17" s="152">
        <v>7</v>
      </c>
      <c r="G17" s="136"/>
      <c r="H17" s="152">
        <v>0.04</v>
      </c>
      <c r="I17" s="154">
        <v>0</v>
      </c>
      <c r="J17" s="155"/>
      <c r="K17" s="139"/>
      <c r="L17" s="140">
        <v>0</v>
      </c>
      <c r="M17" s="152">
        <f t="shared" si="5"/>
        <v>490</v>
      </c>
      <c r="N17" s="176">
        <f t="shared" ref="N17:N19" si="7">E17*F17*H17/1000</f>
        <v>1.9600000000000003E-2</v>
      </c>
      <c r="O17" s="147" t="s">
        <v>94</v>
      </c>
      <c r="P17" s="148" t="s">
        <v>95</v>
      </c>
      <c r="Q17" s="149" t="s">
        <v>97</v>
      </c>
    </row>
    <row r="18" spans="1:17" s="104" customFormat="1" x14ac:dyDescent="0.3">
      <c r="A18" s="145">
        <v>5</v>
      </c>
      <c r="B18" s="150">
        <v>676670</v>
      </c>
      <c r="C18" s="150">
        <v>676740</v>
      </c>
      <c r="D18" s="151" t="s">
        <v>10</v>
      </c>
      <c r="E18" s="136">
        <f>(C18-B18)</f>
        <v>70</v>
      </c>
      <c r="F18" s="174">
        <v>3.5</v>
      </c>
      <c r="G18" s="174"/>
      <c r="H18" s="146">
        <v>0.04</v>
      </c>
      <c r="I18" s="174">
        <v>0</v>
      </c>
      <c r="J18" s="136"/>
      <c r="K18" s="139"/>
      <c r="L18" s="175">
        <v>0</v>
      </c>
      <c r="M18" s="139">
        <f t="shared" si="5"/>
        <v>245</v>
      </c>
      <c r="N18" s="141">
        <f t="shared" si="7"/>
        <v>9.8000000000000014E-3</v>
      </c>
      <c r="O18" s="147" t="s">
        <v>94</v>
      </c>
      <c r="P18" s="148" t="s">
        <v>95</v>
      </c>
      <c r="Q18" s="149" t="s">
        <v>96</v>
      </c>
    </row>
    <row r="19" spans="1:17" s="104" customFormat="1" x14ac:dyDescent="0.3">
      <c r="A19" s="145">
        <v>6</v>
      </c>
      <c r="B19" s="150">
        <v>676805</v>
      </c>
      <c r="C19" s="150">
        <v>676836</v>
      </c>
      <c r="D19" s="151" t="s">
        <v>10</v>
      </c>
      <c r="E19" s="136">
        <f>(C19-B19)</f>
        <v>31</v>
      </c>
      <c r="F19" s="174">
        <v>3.5</v>
      </c>
      <c r="G19" s="174"/>
      <c r="H19" s="146">
        <v>0.04</v>
      </c>
      <c r="I19" s="174">
        <v>0</v>
      </c>
      <c r="J19" s="136"/>
      <c r="K19" s="139"/>
      <c r="L19" s="175">
        <v>0</v>
      </c>
      <c r="M19" s="139">
        <f t="shared" si="5"/>
        <v>108.5</v>
      </c>
      <c r="N19" s="141">
        <f t="shared" si="7"/>
        <v>4.3400000000000001E-3</v>
      </c>
      <c r="O19" s="147" t="s">
        <v>94</v>
      </c>
      <c r="P19" s="148" t="s">
        <v>95</v>
      </c>
      <c r="Q19" s="149" t="s">
        <v>96</v>
      </c>
    </row>
    <row r="20" spans="1:17" ht="22.25" thickBot="1" x14ac:dyDescent="0.75">
      <c r="A20" s="177" t="s">
        <v>99</v>
      </c>
      <c r="B20" s="178"/>
      <c r="C20" s="179"/>
      <c r="D20" s="180"/>
      <c r="E20" s="181">
        <f>SUM(E6:E19)</f>
        <v>1172</v>
      </c>
      <c r="F20" s="180"/>
      <c r="G20" s="180"/>
      <c r="H20" s="180"/>
      <c r="I20" s="180"/>
      <c r="J20" s="182">
        <f>SUM(J6:J19)</f>
        <v>913.5</v>
      </c>
      <c r="K20" s="182">
        <f>SUM(K6:K19)</f>
        <v>913.5</v>
      </c>
      <c r="L20" s="182">
        <f>SUM(L6:L19)</f>
        <v>45.674999999999997</v>
      </c>
      <c r="M20" s="182">
        <f>SUM(M14:M19)</f>
        <v>3678.5</v>
      </c>
      <c r="N20" s="182">
        <f>SUM(N14:N19)</f>
        <v>113.43374</v>
      </c>
      <c r="O20" s="183"/>
      <c r="P20" s="184"/>
      <c r="Q20" s="185"/>
    </row>
    <row r="21" spans="1:17" x14ac:dyDescent="0.7">
      <c r="A21" s="186"/>
      <c r="E21" s="125">
        <f>SUM(E6:E7,E9:E11)/2+E8</f>
        <v>130.5</v>
      </c>
    </row>
    <row r="22" spans="1:17" x14ac:dyDescent="0.7">
      <c r="A22" s="186"/>
      <c r="E22" s="125">
        <f>SUM(E15:E16,E18:E19)/2+E17</f>
        <v>525.5</v>
      </c>
      <c r="H22" s="187"/>
      <c r="I22" s="187"/>
      <c r="J22" s="187"/>
      <c r="K22" s="187"/>
    </row>
    <row r="23" spans="1:17" x14ac:dyDescent="0.7">
      <c r="A23" s="186"/>
      <c r="G23" s="188"/>
      <c r="H23" s="189"/>
    </row>
    <row r="24" spans="1:17" x14ac:dyDescent="0.7">
      <c r="A24" s="186"/>
      <c r="G24" s="188"/>
    </row>
  </sheetData>
  <mergeCells count="21">
    <mergeCell ref="P3:P4"/>
    <mergeCell ref="Q3:Q4"/>
    <mergeCell ref="A5:Q5"/>
    <mergeCell ref="A13:Q13"/>
    <mergeCell ref="A20:C20"/>
    <mergeCell ref="J3:J4"/>
    <mergeCell ref="K3:K4"/>
    <mergeCell ref="L3:L4"/>
    <mergeCell ref="M3:M4"/>
    <mergeCell ref="N3:N4"/>
    <mergeCell ref="O3:O4"/>
    <mergeCell ref="A1:Q1"/>
    <mergeCell ref="A2:Q2"/>
    <mergeCell ref="A3:A4"/>
    <mergeCell ref="B3:C3"/>
    <mergeCell ref="D3:D4"/>
    <mergeCell ref="E3:E4"/>
    <mergeCell ref="F3:F4"/>
    <mergeCell ref="G3:G4"/>
    <mergeCell ref="H3:H4"/>
    <mergeCell ref="I3:I4"/>
  </mergeCells>
  <printOptions horizontalCentered="1"/>
  <pageMargins left="0.55118110236220474" right="0.55118110236220474" top="0.55118110236220474" bottom="0.55118110236220474" header="0.31496062992125984" footer="0.31496062992125984"/>
  <pageSetup paperSize="9" scale="68" fitToHeight="2" orientation="landscape"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2420-1CD6-4345-96E7-E11D19CD71E5}">
  <sheetPr>
    <pageSetUpPr fitToPage="1"/>
  </sheetPr>
  <dimension ref="A1:S9"/>
  <sheetViews>
    <sheetView view="pageBreakPreview" zoomScaleNormal="100" zoomScaleSheetLayoutView="100" workbookViewId="0">
      <selection sqref="A1:H1"/>
    </sheetView>
  </sheetViews>
  <sheetFormatPr defaultColWidth="7.77734375" defaultRowHeight="19" x14ac:dyDescent="0.6"/>
  <cols>
    <col min="1" max="1" width="7.21875" style="206" customWidth="1"/>
    <col min="2" max="2" width="20.5546875" style="206" bestFit="1" customWidth="1"/>
    <col min="3" max="3" width="14" style="206" customWidth="1"/>
    <col min="4" max="4" width="9.44140625" style="206" customWidth="1"/>
    <col min="5" max="5" width="26.21875" style="206" bestFit="1" customWidth="1"/>
    <col min="6" max="7" width="13.5546875" style="206" customWidth="1"/>
    <col min="8" max="8" width="29.77734375" style="206" customWidth="1"/>
    <col min="9" max="10" width="7.77734375" style="206"/>
    <col min="11" max="11" width="10.77734375" style="206" bestFit="1" customWidth="1"/>
    <col min="12" max="12" width="10.77734375" style="206" customWidth="1"/>
    <col min="13" max="13" width="8" style="206" customWidth="1"/>
    <col min="14" max="14" width="6.77734375" style="206" customWidth="1"/>
    <col min="15" max="15" width="11.21875" style="206" bestFit="1" customWidth="1"/>
    <col min="16" max="16" width="6.44140625" style="206" bestFit="1" customWidth="1"/>
    <col min="17" max="17" width="10.21875" style="206" bestFit="1" customWidth="1"/>
    <col min="18" max="18" width="6" style="206" customWidth="1"/>
    <col min="19" max="19" width="6.5546875" style="206" customWidth="1"/>
    <col min="20" max="16384" width="7.77734375" style="206"/>
  </cols>
  <sheetData>
    <row r="1" spans="1:19" x14ac:dyDescent="0.6">
      <c r="A1" s="205" t="s">
        <v>100</v>
      </c>
      <c r="B1" s="205"/>
      <c r="C1" s="205"/>
      <c r="D1" s="205"/>
      <c r="E1" s="205"/>
      <c r="F1" s="205"/>
      <c r="G1" s="205"/>
      <c r="H1" s="205"/>
      <c r="M1" s="207"/>
    </row>
    <row r="2" spans="1:19" x14ac:dyDescent="0.6">
      <c r="A2" s="205" t="s">
        <v>101</v>
      </c>
      <c r="B2" s="205"/>
      <c r="C2" s="205"/>
      <c r="D2" s="205"/>
      <c r="E2" s="205"/>
      <c r="F2" s="205"/>
      <c r="G2" s="208"/>
      <c r="H2" s="209"/>
    </row>
    <row r="3" spans="1:19" x14ac:dyDescent="0.6">
      <c r="A3" s="325" t="s">
        <v>102</v>
      </c>
      <c r="B3" s="325" t="s">
        <v>103</v>
      </c>
      <c r="C3" s="326" t="s">
        <v>104</v>
      </c>
      <c r="D3" s="325" t="s">
        <v>4</v>
      </c>
      <c r="E3" s="327" t="s">
        <v>105</v>
      </c>
      <c r="F3" s="325" t="s">
        <v>22</v>
      </c>
      <c r="G3" s="325"/>
      <c r="H3" s="325" t="s">
        <v>106</v>
      </c>
      <c r="K3" s="206">
        <v>450</v>
      </c>
    </row>
    <row r="4" spans="1:19" x14ac:dyDescent="0.6">
      <c r="A4" s="325"/>
      <c r="B4" s="325"/>
      <c r="C4" s="326"/>
      <c r="D4" s="325"/>
      <c r="E4" s="327"/>
      <c r="F4" s="326" t="s">
        <v>107</v>
      </c>
      <c r="G4" s="326" t="s">
        <v>108</v>
      </c>
      <c r="H4" s="325"/>
      <c r="K4" s="210" t="s">
        <v>109</v>
      </c>
      <c r="L4" s="210" t="s">
        <v>110</v>
      </c>
      <c r="M4" s="210" t="s">
        <v>111</v>
      </c>
      <c r="N4" s="210" t="s">
        <v>112</v>
      </c>
      <c r="O4" s="210" t="s">
        <v>113</v>
      </c>
      <c r="P4" s="210" t="s">
        <v>114</v>
      </c>
      <c r="Q4" s="210" t="s">
        <v>115</v>
      </c>
      <c r="R4" s="210" t="s">
        <v>87</v>
      </c>
      <c r="S4" s="210" t="s">
        <v>86</v>
      </c>
    </row>
    <row r="5" spans="1:19" s="216" customFormat="1" ht="38" x14ac:dyDescent="0.3">
      <c r="A5" s="211">
        <v>1</v>
      </c>
      <c r="B5" s="212" t="s">
        <v>116</v>
      </c>
      <c r="C5" s="213" t="s">
        <v>117</v>
      </c>
      <c r="D5" s="214" t="s">
        <v>10</v>
      </c>
      <c r="E5" s="211" t="s">
        <v>118</v>
      </c>
      <c r="F5" s="211">
        <v>1</v>
      </c>
      <c r="G5" s="211"/>
      <c r="H5" s="215" t="s">
        <v>119</v>
      </c>
      <c r="I5" s="216" t="s">
        <v>120</v>
      </c>
      <c r="K5" s="217">
        <f>$K$3*1</f>
        <v>450</v>
      </c>
      <c r="L5" s="217">
        <f>$K$3*0.5</f>
        <v>225</v>
      </c>
      <c r="M5" s="217">
        <f>$K$3*0.5</f>
        <v>225</v>
      </c>
      <c r="N5" s="217">
        <f>$K$3*0.2</f>
        <v>90</v>
      </c>
      <c r="O5" s="217">
        <f>$K$3</f>
        <v>450</v>
      </c>
      <c r="P5" s="217">
        <f>$K$3*0.25</f>
        <v>112.5</v>
      </c>
      <c r="Q5" s="217">
        <f>$K$3</f>
        <v>450</v>
      </c>
      <c r="R5" s="217">
        <f>$K$3*0.05</f>
        <v>22.5</v>
      </c>
      <c r="S5" s="217">
        <f>$K$3*0.04</f>
        <v>18</v>
      </c>
    </row>
    <row r="6" spans="1:19" s="216" customFormat="1" ht="38" x14ac:dyDescent="0.3">
      <c r="A6" s="211">
        <v>2</v>
      </c>
      <c r="B6" s="212" t="s">
        <v>116</v>
      </c>
      <c r="C6" s="213" t="s">
        <v>121</v>
      </c>
      <c r="D6" s="214" t="s">
        <v>10</v>
      </c>
      <c r="E6" s="211" t="s">
        <v>122</v>
      </c>
      <c r="F6" s="211">
        <v>1</v>
      </c>
      <c r="G6" s="211"/>
      <c r="H6" s="215" t="s">
        <v>119</v>
      </c>
      <c r="I6" s="216" t="s">
        <v>123</v>
      </c>
      <c r="K6" s="217"/>
      <c r="L6" s="217"/>
      <c r="M6" s="217"/>
      <c r="N6" s="217"/>
      <c r="O6" s="217"/>
      <c r="P6" s="217"/>
      <c r="Q6" s="217">
        <f t="shared" ref="Q6:Q7" si="0">$K$3</f>
        <v>450</v>
      </c>
      <c r="R6" s="217">
        <f t="shared" ref="R6:R7" si="1">$K$3*0.05</f>
        <v>22.5</v>
      </c>
      <c r="S6" s="217">
        <f t="shared" ref="S6:S7" si="2">$K$3*0.04</f>
        <v>18</v>
      </c>
    </row>
    <row r="7" spans="1:19" s="216" customFormat="1" ht="38.65" thickBot="1" x14ac:dyDescent="0.35">
      <c r="A7" s="218">
        <v>3</v>
      </c>
      <c r="B7" s="219" t="s">
        <v>116</v>
      </c>
      <c r="C7" s="220" t="s">
        <v>121</v>
      </c>
      <c r="D7" s="221" t="s">
        <v>15</v>
      </c>
      <c r="E7" s="218" t="s">
        <v>122</v>
      </c>
      <c r="F7" s="218">
        <v>1</v>
      </c>
      <c r="G7" s="218"/>
      <c r="H7" s="222" t="s">
        <v>119</v>
      </c>
      <c r="I7" s="216" t="s">
        <v>123</v>
      </c>
      <c r="K7" s="217"/>
      <c r="L7" s="217"/>
      <c r="M7" s="217"/>
      <c r="N7" s="217"/>
      <c r="O7" s="217"/>
      <c r="P7" s="217"/>
      <c r="Q7" s="217">
        <f t="shared" si="0"/>
        <v>450</v>
      </c>
      <c r="R7" s="217">
        <f t="shared" si="1"/>
        <v>22.5</v>
      </c>
      <c r="S7" s="217">
        <f t="shared" si="2"/>
        <v>18</v>
      </c>
    </row>
    <row r="8" spans="1:19" ht="19.649999999999999" thickBot="1" x14ac:dyDescent="0.65">
      <c r="A8" s="223"/>
      <c r="B8" s="224"/>
      <c r="C8" s="224"/>
      <c r="D8" s="224"/>
      <c r="E8" s="225" t="s">
        <v>124</v>
      </c>
      <c r="F8" s="225">
        <f>SUM(F5:F7)</f>
        <v>3</v>
      </c>
      <c r="G8" s="226"/>
      <c r="H8" s="227"/>
      <c r="K8" s="228">
        <f>SUM(K5:K7)</f>
        <v>450</v>
      </c>
      <c r="L8" s="228">
        <f>SUM(L5:L7)</f>
        <v>225</v>
      </c>
      <c r="M8" s="228">
        <f t="shared" ref="M8:S8" si="3">SUM(M5:M7)</f>
        <v>225</v>
      </c>
      <c r="N8" s="228">
        <f t="shared" si="3"/>
        <v>90</v>
      </c>
      <c r="O8" s="228">
        <f t="shared" si="3"/>
        <v>450</v>
      </c>
      <c r="P8" s="228">
        <f t="shared" si="3"/>
        <v>112.5</v>
      </c>
      <c r="Q8" s="228">
        <f t="shared" si="3"/>
        <v>1350</v>
      </c>
      <c r="R8" s="228">
        <f t="shared" si="3"/>
        <v>67.5</v>
      </c>
      <c r="S8" s="228">
        <f t="shared" si="3"/>
        <v>54</v>
      </c>
    </row>
    <row r="9" spans="1:19" x14ac:dyDescent="0.6">
      <c r="K9" s="206" t="s">
        <v>125</v>
      </c>
    </row>
  </sheetData>
  <mergeCells count="8">
    <mergeCell ref="A1:H1"/>
    <mergeCell ref="A2:F2"/>
    <mergeCell ref="A3:A4"/>
    <mergeCell ref="B3:B4"/>
    <mergeCell ref="D3:D4"/>
    <mergeCell ref="E3:E4"/>
    <mergeCell ref="F3:G3"/>
    <mergeCell ref="H3:H4"/>
  </mergeCells>
  <pageMargins left="0.70866141732283472" right="0.70866141732283472" top="0.74803149606299213" bottom="0.74803149606299213" header="0.31496062992125984" footer="0.31496062992125984"/>
  <pageSetup paperSize="9" scale="97" orientation="landscape"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2210-E892-4446-ADEC-404C5CCE6533}">
  <sheetPr>
    <pageSetUpPr fitToPage="1"/>
  </sheetPr>
  <dimension ref="A1:Y24"/>
  <sheetViews>
    <sheetView view="pageBreakPreview" zoomScaleNormal="100" zoomScaleSheetLayoutView="100" workbookViewId="0">
      <selection sqref="A1:I1"/>
    </sheetView>
  </sheetViews>
  <sheetFormatPr defaultColWidth="7.88671875" defaultRowHeight="19" x14ac:dyDescent="0.3"/>
  <cols>
    <col min="1" max="1" width="7.88671875" style="234"/>
    <col min="2" max="2" width="9.77734375" style="234" bestFit="1" customWidth="1"/>
    <col min="3" max="3" width="11.77734375" style="234" customWidth="1"/>
    <col min="4" max="4" width="8.109375" style="234" customWidth="1"/>
    <col min="5" max="5" width="13.44140625" style="234" customWidth="1"/>
    <col min="6" max="6" width="15.88671875" style="234" customWidth="1"/>
    <col min="7" max="7" width="16.6640625" style="234" customWidth="1"/>
    <col min="8" max="8" width="20.44140625" style="234" customWidth="1"/>
    <col min="9" max="9" width="17.44140625" style="233" customWidth="1"/>
    <col min="10" max="15" width="8.6640625" style="233" customWidth="1"/>
    <col min="16" max="16" width="9.77734375" style="233" bestFit="1" customWidth="1"/>
    <col min="17" max="17" width="11.77734375" style="233" customWidth="1"/>
    <col min="18" max="18" width="10.6640625" style="233" bestFit="1" customWidth="1"/>
    <col min="19" max="19" width="12.44140625" style="233" customWidth="1"/>
    <col min="20" max="21" width="8.6640625" style="233" customWidth="1"/>
    <col min="22" max="22" width="10.21875" style="233" bestFit="1" customWidth="1"/>
    <col min="23" max="23" width="10.21875" style="234" bestFit="1" customWidth="1"/>
    <col min="24" max="16384" width="7.88671875" style="234"/>
  </cols>
  <sheetData>
    <row r="1" spans="1:25" ht="27.5" thickBot="1" x14ac:dyDescent="0.35">
      <c r="A1" s="229" t="s">
        <v>126</v>
      </c>
      <c r="B1" s="230"/>
      <c r="C1" s="230"/>
      <c r="D1" s="230"/>
      <c r="E1" s="230"/>
      <c r="F1" s="230"/>
      <c r="G1" s="230"/>
      <c r="H1" s="230"/>
      <c r="I1" s="231"/>
      <c r="J1" s="232"/>
      <c r="K1" s="232"/>
      <c r="L1" s="232"/>
      <c r="M1" s="232"/>
      <c r="N1" s="232"/>
      <c r="O1" s="232"/>
    </row>
    <row r="2" spans="1:25" ht="27.5" thickBot="1" x14ac:dyDescent="0.35">
      <c r="A2" s="235" t="s">
        <v>127</v>
      </c>
      <c r="B2" s="236"/>
      <c r="C2" s="236"/>
      <c r="D2" s="236"/>
      <c r="E2" s="236"/>
      <c r="F2" s="236"/>
      <c r="G2" s="236"/>
      <c r="H2" s="236"/>
      <c r="I2" s="236"/>
      <c r="J2" s="237" t="s">
        <v>128</v>
      </c>
      <c r="K2" s="237"/>
      <c r="L2" s="237"/>
      <c r="M2" s="237"/>
      <c r="N2" s="237"/>
      <c r="O2" s="238"/>
      <c r="P2" s="239" t="s">
        <v>129</v>
      </c>
      <c r="Q2" s="239"/>
      <c r="R2" s="239"/>
      <c r="S2" s="239"/>
      <c r="T2" s="239"/>
      <c r="U2" s="239"/>
      <c r="V2" s="239"/>
      <c r="W2" s="239"/>
      <c r="X2" s="240"/>
    </row>
    <row r="3" spans="1:25" ht="22.25" x14ac:dyDescent="0.3">
      <c r="A3" s="297" t="s">
        <v>130</v>
      </c>
      <c r="B3" s="298" t="s">
        <v>131</v>
      </c>
      <c r="C3" s="298"/>
      <c r="D3" s="298" t="s">
        <v>4</v>
      </c>
      <c r="E3" s="298" t="s">
        <v>132</v>
      </c>
      <c r="F3" s="299" t="s">
        <v>22</v>
      </c>
      <c r="G3" s="300"/>
      <c r="H3" s="301" t="s">
        <v>24</v>
      </c>
      <c r="I3" s="302" t="s">
        <v>106</v>
      </c>
      <c r="J3" s="241" t="s">
        <v>133</v>
      </c>
      <c r="K3" s="241" t="s">
        <v>134</v>
      </c>
      <c r="L3" s="241" t="s">
        <v>135</v>
      </c>
      <c r="M3" s="241" t="s">
        <v>136</v>
      </c>
      <c r="N3" s="241" t="s">
        <v>137</v>
      </c>
      <c r="O3" s="241" t="s">
        <v>138</v>
      </c>
      <c r="P3" s="242" t="s">
        <v>109</v>
      </c>
      <c r="Q3" s="242" t="s">
        <v>139</v>
      </c>
      <c r="R3" s="242" t="s">
        <v>140</v>
      </c>
      <c r="S3" s="242" t="s">
        <v>141</v>
      </c>
      <c r="T3" s="242" t="s">
        <v>142</v>
      </c>
      <c r="U3" s="242" t="s">
        <v>143</v>
      </c>
      <c r="V3" s="242" t="s">
        <v>144</v>
      </c>
      <c r="W3" s="242" t="s">
        <v>145</v>
      </c>
      <c r="X3" s="243"/>
    </row>
    <row r="4" spans="1:25" ht="22.95" thickBot="1" x14ac:dyDescent="0.35">
      <c r="A4" s="303"/>
      <c r="B4" s="304" t="s">
        <v>2</v>
      </c>
      <c r="C4" s="304" t="s">
        <v>3</v>
      </c>
      <c r="D4" s="305"/>
      <c r="E4" s="305"/>
      <c r="F4" s="304" t="s">
        <v>107</v>
      </c>
      <c r="G4" s="304" t="s">
        <v>108</v>
      </c>
      <c r="H4" s="306"/>
      <c r="I4" s="307"/>
      <c r="J4" s="241"/>
      <c r="K4" s="241"/>
      <c r="L4" s="241"/>
      <c r="M4" s="241"/>
      <c r="N4" s="241"/>
      <c r="O4" s="241"/>
      <c r="P4" s="242"/>
      <c r="Q4" s="242"/>
      <c r="R4" s="242"/>
      <c r="S4" s="242"/>
      <c r="T4" s="242"/>
      <c r="U4" s="242"/>
      <c r="V4" s="242"/>
      <c r="W4" s="242"/>
      <c r="X4" s="243"/>
    </row>
    <row r="5" spans="1:25" s="249" customFormat="1" ht="21.6" x14ac:dyDescent="0.3">
      <c r="A5" s="244" t="s">
        <v>146</v>
      </c>
      <c r="B5" s="245"/>
      <c r="C5" s="245"/>
      <c r="D5" s="245"/>
      <c r="E5" s="245"/>
      <c r="F5" s="245"/>
      <c r="G5" s="245"/>
      <c r="H5" s="245"/>
      <c r="I5" s="245"/>
      <c r="J5" s="246" t="s">
        <v>147</v>
      </c>
      <c r="K5" s="246" t="s">
        <v>147</v>
      </c>
      <c r="L5" s="246" t="s">
        <v>147</v>
      </c>
      <c r="M5" s="246" t="s">
        <v>147</v>
      </c>
      <c r="N5" s="246" t="s">
        <v>147</v>
      </c>
      <c r="O5" s="246" t="s">
        <v>147</v>
      </c>
      <c r="P5" s="247" t="s">
        <v>27</v>
      </c>
      <c r="Q5" s="247" t="s">
        <v>27</v>
      </c>
      <c r="R5" s="247" t="s">
        <v>27</v>
      </c>
      <c r="S5" s="247" t="s">
        <v>27</v>
      </c>
      <c r="T5" s="247" t="s">
        <v>27</v>
      </c>
      <c r="U5" s="247" t="s">
        <v>148</v>
      </c>
      <c r="V5" s="247" t="s">
        <v>78</v>
      </c>
      <c r="W5" s="247" t="s">
        <v>27</v>
      </c>
      <c r="X5" s="248"/>
    </row>
    <row r="6" spans="1:25" s="260" customFormat="1" ht="38" x14ac:dyDescent="0.3">
      <c r="A6" s="250">
        <v>1</v>
      </c>
      <c r="B6" s="251">
        <v>637687</v>
      </c>
      <c r="C6" s="251">
        <v>637720</v>
      </c>
      <c r="D6" s="252" t="s">
        <v>15</v>
      </c>
      <c r="E6" s="253">
        <f>C6-B6</f>
        <v>33</v>
      </c>
      <c r="F6" s="254">
        <f>E6</f>
        <v>33</v>
      </c>
      <c r="G6" s="255"/>
      <c r="H6" s="255" t="s">
        <v>149</v>
      </c>
      <c r="I6" s="256" t="s">
        <v>150</v>
      </c>
      <c r="J6" s="257">
        <v>0.6</v>
      </c>
      <c r="K6" s="257">
        <v>0.1</v>
      </c>
      <c r="L6" s="257">
        <v>0.15</v>
      </c>
      <c r="M6" s="257">
        <f>1.35+0.2</f>
        <v>1.55</v>
      </c>
      <c r="N6" s="257">
        <v>0.1</v>
      </c>
      <c r="O6" s="257">
        <f>1.35+0.2</f>
        <v>1.55</v>
      </c>
      <c r="P6" s="258">
        <f>F6*(J6+L6+N6+0.1)*(M6+0.2)</f>
        <v>54.862499999999997</v>
      </c>
      <c r="Q6" s="258">
        <f>F6*(M6+0.2)*0.1</f>
        <v>5.7750000000000004</v>
      </c>
      <c r="R6" s="258">
        <f>F6*L6*M6</f>
        <v>7.6725000000000003</v>
      </c>
      <c r="S6" s="258">
        <f>J6*K6*F6*2</f>
        <v>3.96</v>
      </c>
      <c r="T6" s="258">
        <f>F6*N6*O6</f>
        <v>5.1150000000000002</v>
      </c>
      <c r="U6" s="258">
        <f>(R6+S6+T6)*0.05</f>
        <v>0.8373750000000002</v>
      </c>
      <c r="V6" s="258">
        <f>F6</f>
        <v>33</v>
      </c>
      <c r="W6" s="259">
        <f>E6*J6*1</f>
        <v>19.8</v>
      </c>
    </row>
    <row r="7" spans="1:25" s="260" customFormat="1" ht="38" x14ac:dyDescent="0.3">
      <c r="A7" s="250">
        <v>2</v>
      </c>
      <c r="B7" s="251">
        <v>637772</v>
      </c>
      <c r="C7" s="251">
        <v>637781</v>
      </c>
      <c r="D7" s="252" t="s">
        <v>15</v>
      </c>
      <c r="E7" s="253">
        <f>C7-B7</f>
        <v>9</v>
      </c>
      <c r="F7" s="254">
        <f>E7</f>
        <v>9</v>
      </c>
      <c r="G7" s="255"/>
      <c r="H7" s="255" t="s">
        <v>149</v>
      </c>
      <c r="I7" s="256" t="s">
        <v>150</v>
      </c>
      <c r="J7" s="257">
        <v>0.6</v>
      </c>
      <c r="K7" s="257">
        <v>0.1</v>
      </c>
      <c r="L7" s="257">
        <v>0.15</v>
      </c>
      <c r="M7" s="257">
        <f t="shared" ref="M7:M9" si="0">1.35+0.2</f>
        <v>1.55</v>
      </c>
      <c r="N7" s="257">
        <v>0.1</v>
      </c>
      <c r="O7" s="257">
        <f t="shared" ref="O7:O9" si="1">1.35+0.2</f>
        <v>1.55</v>
      </c>
      <c r="P7" s="258">
        <f>F7*(J7+L7+N7+0.1)*(M7+0.2)</f>
        <v>14.962499999999999</v>
      </c>
      <c r="Q7" s="258">
        <f>F7*(M7+0.2)*0.1</f>
        <v>1.5750000000000002</v>
      </c>
      <c r="R7" s="258">
        <f>F7*L7*M7</f>
        <v>2.0924999999999998</v>
      </c>
      <c r="S7" s="258">
        <f>J7*K7*F7*2</f>
        <v>1.08</v>
      </c>
      <c r="T7" s="258">
        <f>F7*N7*O7</f>
        <v>1.395</v>
      </c>
      <c r="U7" s="258">
        <f t="shared" ref="U7:U9" si="2">(R7+S7+T7)*0.05</f>
        <v>0.22837499999999999</v>
      </c>
      <c r="V7" s="258">
        <f>F7</f>
        <v>9</v>
      </c>
      <c r="W7" s="259">
        <f>E7*J7*1</f>
        <v>5.3999999999999995</v>
      </c>
    </row>
    <row r="8" spans="1:25" s="260" customFormat="1" ht="38" x14ac:dyDescent="0.3">
      <c r="A8" s="250">
        <v>3</v>
      </c>
      <c r="B8" s="251">
        <v>637827</v>
      </c>
      <c r="C8" s="251">
        <v>637834</v>
      </c>
      <c r="D8" s="252" t="s">
        <v>15</v>
      </c>
      <c r="E8" s="253">
        <f>C8-B8</f>
        <v>7</v>
      </c>
      <c r="F8" s="254">
        <f>E8</f>
        <v>7</v>
      </c>
      <c r="G8" s="255"/>
      <c r="H8" s="255" t="s">
        <v>149</v>
      </c>
      <c r="I8" s="256" t="s">
        <v>150</v>
      </c>
      <c r="J8" s="261">
        <v>0.6</v>
      </c>
      <c r="K8" s="261">
        <v>0.1</v>
      </c>
      <c r="L8" s="261">
        <v>0.15</v>
      </c>
      <c r="M8" s="261">
        <f t="shared" si="0"/>
        <v>1.55</v>
      </c>
      <c r="N8" s="261">
        <v>0.1</v>
      </c>
      <c r="O8" s="261">
        <f t="shared" si="1"/>
        <v>1.55</v>
      </c>
      <c r="P8" s="262">
        <f>F8*(J8+L8+N8+0.1)*(M8+0.2)</f>
        <v>11.637499999999999</v>
      </c>
      <c r="Q8" s="262">
        <f>F8*(M8+0.2)*0.1</f>
        <v>1.2250000000000001</v>
      </c>
      <c r="R8" s="262">
        <f>F8*L8*M8</f>
        <v>1.6275000000000002</v>
      </c>
      <c r="S8" s="262">
        <f>J8*K8*F8*2</f>
        <v>0.84</v>
      </c>
      <c r="T8" s="262">
        <f>F8*N8*O8</f>
        <v>1.0850000000000002</v>
      </c>
      <c r="U8" s="262">
        <f t="shared" si="2"/>
        <v>0.17762500000000003</v>
      </c>
      <c r="V8" s="262">
        <f>F8</f>
        <v>7</v>
      </c>
      <c r="W8" s="263">
        <f>E8*J8*1</f>
        <v>4.2</v>
      </c>
    </row>
    <row r="9" spans="1:25" s="260" customFormat="1" ht="38" x14ac:dyDescent="0.3">
      <c r="A9" s="250">
        <v>4</v>
      </c>
      <c r="B9" s="251">
        <v>637917</v>
      </c>
      <c r="C9" s="251">
        <v>637928</v>
      </c>
      <c r="D9" s="252" t="s">
        <v>10</v>
      </c>
      <c r="E9" s="253">
        <f>C9-B9</f>
        <v>11</v>
      </c>
      <c r="F9" s="254">
        <f>E9</f>
        <v>11</v>
      </c>
      <c r="G9" s="255"/>
      <c r="H9" s="255" t="s">
        <v>149</v>
      </c>
      <c r="I9" s="256" t="s">
        <v>150</v>
      </c>
      <c r="J9" s="257">
        <v>0.6</v>
      </c>
      <c r="K9" s="257">
        <v>0.1</v>
      </c>
      <c r="L9" s="257">
        <v>0.15</v>
      </c>
      <c r="M9" s="257">
        <f t="shared" si="0"/>
        <v>1.55</v>
      </c>
      <c r="N9" s="257">
        <v>0.1</v>
      </c>
      <c r="O9" s="257">
        <f t="shared" si="1"/>
        <v>1.55</v>
      </c>
      <c r="P9" s="258">
        <f>F9*(J9+L9+N9+0.1)*(M9+0.2)</f>
        <v>18.287499999999998</v>
      </c>
      <c r="Q9" s="258">
        <f>F9*(M9+0.2)*0.1</f>
        <v>1.925</v>
      </c>
      <c r="R9" s="258">
        <f>F9*L9*M9</f>
        <v>2.5575000000000001</v>
      </c>
      <c r="S9" s="258">
        <f>J9*K9*F9*2</f>
        <v>1.3199999999999998</v>
      </c>
      <c r="T9" s="258">
        <f>F9*N9*O9</f>
        <v>1.7050000000000003</v>
      </c>
      <c r="U9" s="258">
        <f t="shared" si="2"/>
        <v>0.27912500000000001</v>
      </c>
      <c r="V9" s="258">
        <f>F9</f>
        <v>11</v>
      </c>
      <c r="W9" s="259">
        <f>E9*J9*1</f>
        <v>6.6</v>
      </c>
      <c r="X9" s="264"/>
      <c r="Y9" s="264"/>
    </row>
    <row r="10" spans="1:25" s="271" customFormat="1" ht="22.95" thickBot="1" x14ac:dyDescent="0.35">
      <c r="A10" s="265" t="s">
        <v>151</v>
      </c>
      <c r="B10" s="266"/>
      <c r="C10" s="266"/>
      <c r="D10" s="267"/>
      <c r="E10" s="268">
        <f>SUM(E6:E9)</f>
        <v>60</v>
      </c>
      <c r="F10" s="268">
        <f>SUM(F6:F9)</f>
        <v>60</v>
      </c>
      <c r="G10" s="268">
        <f>SUM(G6:G9)</f>
        <v>0</v>
      </c>
      <c r="H10" s="268"/>
      <c r="I10" s="269"/>
      <c r="J10" s="270"/>
      <c r="K10" s="270"/>
      <c r="L10" s="270"/>
      <c r="M10" s="270"/>
      <c r="N10" s="270"/>
      <c r="O10" s="270"/>
      <c r="P10" s="258"/>
      <c r="Q10" s="258"/>
      <c r="R10" s="258"/>
      <c r="S10" s="258"/>
      <c r="T10" s="258"/>
      <c r="U10" s="258"/>
      <c r="V10" s="258"/>
      <c r="W10" s="259"/>
    </row>
    <row r="11" spans="1:25" s="271" customFormat="1" ht="22.95" thickBot="1" x14ac:dyDescent="0.35">
      <c r="A11" s="272" t="s">
        <v>152</v>
      </c>
      <c r="B11" s="273"/>
      <c r="C11" s="273"/>
      <c r="D11" s="273"/>
      <c r="E11" s="273"/>
      <c r="F11" s="273"/>
      <c r="G11" s="273"/>
      <c r="H11" s="273"/>
      <c r="I11" s="273"/>
      <c r="J11" s="274"/>
      <c r="K11" s="274"/>
      <c r="L11" s="274"/>
      <c r="M11" s="274"/>
      <c r="N11" s="274"/>
      <c r="O11" s="274"/>
      <c r="P11" s="258"/>
      <c r="Q11" s="258"/>
      <c r="R11" s="258"/>
      <c r="S11" s="258"/>
      <c r="T11" s="258"/>
      <c r="U11" s="258"/>
      <c r="V11" s="258"/>
      <c r="W11" s="259"/>
      <c r="X11" s="275"/>
      <c r="Y11" s="275"/>
    </row>
    <row r="12" spans="1:25" s="260" customFormat="1" ht="38" x14ac:dyDescent="0.3">
      <c r="A12" s="276">
        <v>1</v>
      </c>
      <c r="B12" s="134">
        <v>647230</v>
      </c>
      <c r="C12" s="134">
        <v>647290</v>
      </c>
      <c r="D12" s="277" t="s">
        <v>10</v>
      </c>
      <c r="E12" s="278">
        <f t="shared" ref="E12:E18" si="3">C12-B12</f>
        <v>60</v>
      </c>
      <c r="F12" s="279">
        <f t="shared" ref="F12:F19" si="4">E12</f>
        <v>60</v>
      </c>
      <c r="G12" s="280"/>
      <c r="H12" s="280" t="s">
        <v>153</v>
      </c>
      <c r="I12" s="281" t="s">
        <v>150</v>
      </c>
      <c r="J12" s="257">
        <f>(1.083+1.059+0.982+0.887+0.791)/5</f>
        <v>0.96039999999999992</v>
      </c>
      <c r="K12" s="257">
        <v>0.1</v>
      </c>
      <c r="L12" s="257">
        <v>0.15</v>
      </c>
      <c r="M12" s="257">
        <f t="shared" ref="M12:M20" si="5">1.35+0.2</f>
        <v>1.55</v>
      </c>
      <c r="N12" s="257">
        <v>0.1</v>
      </c>
      <c r="O12" s="257">
        <f t="shared" ref="O12:O20" si="6">1.35+0.2</f>
        <v>1.55</v>
      </c>
      <c r="P12" s="258">
        <f t="shared" ref="P12:P20" si="7">F12*(J12+L12+N12+0.1)*(M12+0.2)</f>
        <v>137.59199999999998</v>
      </c>
      <c r="Q12" s="258">
        <f t="shared" ref="Q12:Q20" si="8">F12*(M12+0.2)*0.1</f>
        <v>10.5</v>
      </c>
      <c r="R12" s="258">
        <f t="shared" ref="R12:R20" si="9">F12*L12*M12</f>
        <v>13.950000000000001</v>
      </c>
      <c r="S12" s="258">
        <f t="shared" ref="S12:S20" si="10">J12*K12*F12*2</f>
        <v>11.524800000000001</v>
      </c>
      <c r="T12" s="258">
        <f t="shared" ref="T12:T20" si="11">F12*N12*O12</f>
        <v>9.3000000000000007</v>
      </c>
      <c r="U12" s="258">
        <f t="shared" ref="U12:U20" si="12">(R12+S12+T12)*0.05</f>
        <v>1.73874</v>
      </c>
      <c r="V12" s="258">
        <f t="shared" ref="V12:V20" si="13">F12</f>
        <v>60</v>
      </c>
      <c r="W12" s="259">
        <f t="shared" ref="W12:W20" si="14">E12*J12*1</f>
        <v>57.623999999999995</v>
      </c>
    </row>
    <row r="13" spans="1:25" s="260" customFormat="1" ht="38" x14ac:dyDescent="0.3">
      <c r="A13" s="250">
        <v>2</v>
      </c>
      <c r="B13" s="251">
        <v>647350</v>
      </c>
      <c r="C13" s="251">
        <v>647354</v>
      </c>
      <c r="D13" s="252" t="s">
        <v>10</v>
      </c>
      <c r="E13" s="253">
        <f t="shared" si="3"/>
        <v>4</v>
      </c>
      <c r="F13" s="254">
        <f t="shared" si="4"/>
        <v>4</v>
      </c>
      <c r="G13" s="255"/>
      <c r="H13" s="255" t="s">
        <v>153</v>
      </c>
      <c r="I13" s="256" t="s">
        <v>150</v>
      </c>
      <c r="J13" s="257">
        <v>0.6</v>
      </c>
      <c r="K13" s="257">
        <v>0.1</v>
      </c>
      <c r="L13" s="257">
        <v>0.15</v>
      </c>
      <c r="M13" s="257">
        <f t="shared" si="5"/>
        <v>1.55</v>
      </c>
      <c r="N13" s="257">
        <v>0.1</v>
      </c>
      <c r="O13" s="257">
        <f t="shared" si="6"/>
        <v>1.55</v>
      </c>
      <c r="P13" s="258">
        <f t="shared" si="7"/>
        <v>6.6499999999999995</v>
      </c>
      <c r="Q13" s="258">
        <f t="shared" si="8"/>
        <v>0.70000000000000007</v>
      </c>
      <c r="R13" s="258">
        <f t="shared" si="9"/>
        <v>0.92999999999999994</v>
      </c>
      <c r="S13" s="258">
        <f t="shared" si="10"/>
        <v>0.48</v>
      </c>
      <c r="T13" s="258">
        <f t="shared" si="11"/>
        <v>0.62000000000000011</v>
      </c>
      <c r="U13" s="258">
        <f t="shared" si="12"/>
        <v>0.10150000000000002</v>
      </c>
      <c r="V13" s="258">
        <f t="shared" si="13"/>
        <v>4</v>
      </c>
      <c r="W13" s="259">
        <f t="shared" si="14"/>
        <v>2.4</v>
      </c>
    </row>
    <row r="14" spans="1:25" s="260" customFormat="1" ht="38" x14ac:dyDescent="0.3">
      <c r="A14" s="250">
        <v>3</v>
      </c>
      <c r="B14" s="251">
        <v>647580</v>
      </c>
      <c r="C14" s="251">
        <v>647584</v>
      </c>
      <c r="D14" s="252" t="s">
        <v>10</v>
      </c>
      <c r="E14" s="253">
        <f t="shared" si="3"/>
        <v>4</v>
      </c>
      <c r="F14" s="254">
        <f t="shared" si="4"/>
        <v>4</v>
      </c>
      <c r="G14" s="255"/>
      <c r="H14" s="255" t="s">
        <v>153</v>
      </c>
      <c r="I14" s="256" t="s">
        <v>150</v>
      </c>
      <c r="J14" s="257">
        <v>0.6</v>
      </c>
      <c r="K14" s="257">
        <v>0.1</v>
      </c>
      <c r="L14" s="257">
        <v>0.15</v>
      </c>
      <c r="M14" s="257">
        <f t="shared" si="5"/>
        <v>1.55</v>
      </c>
      <c r="N14" s="257">
        <v>0.1</v>
      </c>
      <c r="O14" s="257">
        <f t="shared" si="6"/>
        <v>1.55</v>
      </c>
      <c r="P14" s="258">
        <f t="shared" si="7"/>
        <v>6.6499999999999995</v>
      </c>
      <c r="Q14" s="258">
        <f t="shared" si="8"/>
        <v>0.70000000000000007</v>
      </c>
      <c r="R14" s="258">
        <f t="shared" si="9"/>
        <v>0.92999999999999994</v>
      </c>
      <c r="S14" s="258">
        <f t="shared" si="10"/>
        <v>0.48</v>
      </c>
      <c r="T14" s="258">
        <f t="shared" si="11"/>
        <v>0.62000000000000011</v>
      </c>
      <c r="U14" s="258">
        <f t="shared" si="12"/>
        <v>0.10150000000000002</v>
      </c>
      <c r="V14" s="258">
        <f t="shared" si="13"/>
        <v>4</v>
      </c>
      <c r="W14" s="259">
        <f t="shared" si="14"/>
        <v>2.4</v>
      </c>
    </row>
    <row r="15" spans="1:25" s="260" customFormat="1" ht="38" x14ac:dyDescent="0.3">
      <c r="A15" s="250">
        <v>4</v>
      </c>
      <c r="B15" s="251">
        <v>676484</v>
      </c>
      <c r="C15" s="251">
        <v>676531</v>
      </c>
      <c r="D15" s="282" t="s">
        <v>15</v>
      </c>
      <c r="E15" s="253">
        <f t="shared" si="3"/>
        <v>47</v>
      </c>
      <c r="F15" s="254">
        <f t="shared" si="4"/>
        <v>47</v>
      </c>
      <c r="G15" s="255"/>
      <c r="H15" s="255" t="s">
        <v>149</v>
      </c>
      <c r="I15" s="256" t="s">
        <v>150</v>
      </c>
      <c r="J15" s="257">
        <v>0.6</v>
      </c>
      <c r="K15" s="257">
        <v>0.1</v>
      </c>
      <c r="L15" s="257">
        <v>0.15</v>
      </c>
      <c r="M15" s="257">
        <f t="shared" si="5"/>
        <v>1.55</v>
      </c>
      <c r="N15" s="257">
        <v>0.1</v>
      </c>
      <c r="O15" s="257">
        <f t="shared" si="6"/>
        <v>1.55</v>
      </c>
      <c r="P15" s="258">
        <f t="shared" si="7"/>
        <v>78.137500000000003</v>
      </c>
      <c r="Q15" s="258">
        <f t="shared" si="8"/>
        <v>8.2249999999999996</v>
      </c>
      <c r="R15" s="258">
        <f t="shared" si="9"/>
        <v>10.9275</v>
      </c>
      <c r="S15" s="258">
        <f t="shared" si="10"/>
        <v>5.64</v>
      </c>
      <c r="T15" s="258">
        <f t="shared" si="11"/>
        <v>7.2850000000000001</v>
      </c>
      <c r="U15" s="258">
        <f t="shared" si="12"/>
        <v>1.192625</v>
      </c>
      <c r="V15" s="258">
        <f t="shared" si="13"/>
        <v>47</v>
      </c>
      <c r="W15" s="259">
        <f t="shared" si="14"/>
        <v>28.2</v>
      </c>
    </row>
    <row r="16" spans="1:25" s="260" customFormat="1" ht="38" x14ac:dyDescent="0.3">
      <c r="A16" s="250">
        <v>5</v>
      </c>
      <c r="B16" s="251">
        <v>676645</v>
      </c>
      <c r="C16" s="251">
        <v>676685</v>
      </c>
      <c r="D16" s="252" t="s">
        <v>10</v>
      </c>
      <c r="E16" s="253">
        <f t="shared" si="3"/>
        <v>40</v>
      </c>
      <c r="F16" s="254">
        <f t="shared" si="4"/>
        <v>40</v>
      </c>
      <c r="G16" s="255"/>
      <c r="H16" s="255" t="s">
        <v>149</v>
      </c>
      <c r="I16" s="256" t="s">
        <v>150</v>
      </c>
      <c r="J16" s="257">
        <v>0.6</v>
      </c>
      <c r="K16" s="257">
        <v>0.1</v>
      </c>
      <c r="L16" s="257">
        <v>0.15</v>
      </c>
      <c r="M16" s="257">
        <f t="shared" si="5"/>
        <v>1.55</v>
      </c>
      <c r="N16" s="257">
        <v>0.1</v>
      </c>
      <c r="O16" s="257">
        <f t="shared" si="6"/>
        <v>1.55</v>
      </c>
      <c r="P16" s="258">
        <f t="shared" si="7"/>
        <v>66.5</v>
      </c>
      <c r="Q16" s="258">
        <f t="shared" si="8"/>
        <v>7</v>
      </c>
      <c r="R16" s="258">
        <f t="shared" si="9"/>
        <v>9.3000000000000007</v>
      </c>
      <c r="S16" s="258">
        <f t="shared" si="10"/>
        <v>4.8</v>
      </c>
      <c r="T16" s="258">
        <f t="shared" si="11"/>
        <v>6.2</v>
      </c>
      <c r="U16" s="258">
        <f t="shared" si="12"/>
        <v>1.0150000000000001</v>
      </c>
      <c r="V16" s="258">
        <f t="shared" si="13"/>
        <v>40</v>
      </c>
      <c r="W16" s="259">
        <f t="shared" si="14"/>
        <v>24</v>
      </c>
    </row>
    <row r="17" spans="1:23" s="260" customFormat="1" ht="38" x14ac:dyDescent="0.3">
      <c r="A17" s="250">
        <v>6</v>
      </c>
      <c r="B17" s="251">
        <v>676812</v>
      </c>
      <c r="C17" s="251">
        <v>676823</v>
      </c>
      <c r="D17" s="252" t="s">
        <v>10</v>
      </c>
      <c r="E17" s="253">
        <f t="shared" si="3"/>
        <v>11</v>
      </c>
      <c r="F17" s="254">
        <f t="shared" si="4"/>
        <v>11</v>
      </c>
      <c r="G17" s="255"/>
      <c r="H17" s="255" t="s">
        <v>149</v>
      </c>
      <c r="I17" s="256" t="s">
        <v>150</v>
      </c>
      <c r="J17" s="257">
        <v>0.6</v>
      </c>
      <c r="K17" s="257">
        <v>0.1</v>
      </c>
      <c r="L17" s="257">
        <v>0.15</v>
      </c>
      <c r="M17" s="257">
        <f t="shared" si="5"/>
        <v>1.55</v>
      </c>
      <c r="N17" s="257">
        <v>0.1</v>
      </c>
      <c r="O17" s="257">
        <f t="shared" si="6"/>
        <v>1.55</v>
      </c>
      <c r="P17" s="258">
        <f t="shared" si="7"/>
        <v>18.287499999999998</v>
      </c>
      <c r="Q17" s="258">
        <f t="shared" si="8"/>
        <v>1.925</v>
      </c>
      <c r="R17" s="258">
        <f t="shared" si="9"/>
        <v>2.5575000000000001</v>
      </c>
      <c r="S17" s="258">
        <f t="shared" si="10"/>
        <v>1.3199999999999998</v>
      </c>
      <c r="T17" s="258">
        <f t="shared" si="11"/>
        <v>1.7050000000000003</v>
      </c>
      <c r="U17" s="258">
        <f t="shared" si="12"/>
        <v>0.27912500000000001</v>
      </c>
      <c r="V17" s="258">
        <f t="shared" si="13"/>
        <v>11</v>
      </c>
      <c r="W17" s="259">
        <f t="shared" si="14"/>
        <v>6.6</v>
      </c>
    </row>
    <row r="18" spans="1:23" s="260" customFormat="1" ht="38" x14ac:dyDescent="0.3">
      <c r="A18" s="250">
        <v>7</v>
      </c>
      <c r="B18" s="251">
        <v>676957</v>
      </c>
      <c r="C18" s="251">
        <v>677000</v>
      </c>
      <c r="D18" s="252" t="s">
        <v>10</v>
      </c>
      <c r="E18" s="253">
        <f t="shared" si="3"/>
        <v>43</v>
      </c>
      <c r="F18" s="254">
        <f t="shared" si="4"/>
        <v>43</v>
      </c>
      <c r="G18" s="255"/>
      <c r="H18" s="255" t="s">
        <v>149</v>
      </c>
      <c r="I18" s="256" t="s">
        <v>150</v>
      </c>
      <c r="J18" s="257">
        <v>0.6</v>
      </c>
      <c r="K18" s="257">
        <v>0.1</v>
      </c>
      <c r="L18" s="257">
        <v>0.15</v>
      </c>
      <c r="M18" s="257">
        <f t="shared" si="5"/>
        <v>1.55</v>
      </c>
      <c r="N18" s="257">
        <v>0.1</v>
      </c>
      <c r="O18" s="257">
        <f t="shared" si="6"/>
        <v>1.55</v>
      </c>
      <c r="P18" s="258">
        <f t="shared" si="7"/>
        <v>71.487499999999997</v>
      </c>
      <c r="Q18" s="258">
        <f t="shared" si="8"/>
        <v>7.5250000000000004</v>
      </c>
      <c r="R18" s="258">
        <f t="shared" si="9"/>
        <v>9.9975000000000005</v>
      </c>
      <c r="S18" s="258">
        <f t="shared" si="10"/>
        <v>5.16</v>
      </c>
      <c r="T18" s="258">
        <f t="shared" si="11"/>
        <v>6.665</v>
      </c>
      <c r="U18" s="258">
        <f t="shared" si="12"/>
        <v>1.0911250000000001</v>
      </c>
      <c r="V18" s="258">
        <f t="shared" si="13"/>
        <v>43</v>
      </c>
      <c r="W18" s="259">
        <f t="shared" si="14"/>
        <v>25.8</v>
      </c>
    </row>
    <row r="19" spans="1:23" s="260" customFormat="1" ht="36.65" x14ac:dyDescent="0.3">
      <c r="A19" s="250">
        <v>8</v>
      </c>
      <c r="B19" s="251">
        <v>647290</v>
      </c>
      <c r="C19" s="251">
        <v>647326</v>
      </c>
      <c r="D19" s="282" t="s">
        <v>15</v>
      </c>
      <c r="E19" s="253">
        <f>C19-B19</f>
        <v>36</v>
      </c>
      <c r="F19" s="254">
        <f t="shared" si="4"/>
        <v>36</v>
      </c>
      <c r="G19" s="255"/>
      <c r="H19" s="255" t="s">
        <v>154</v>
      </c>
      <c r="I19" s="256" t="s">
        <v>119</v>
      </c>
      <c r="J19" s="257">
        <v>0.6</v>
      </c>
      <c r="K19" s="257">
        <v>0.1</v>
      </c>
      <c r="L19" s="257">
        <v>0.15</v>
      </c>
      <c r="M19" s="257">
        <f t="shared" si="5"/>
        <v>1.55</v>
      </c>
      <c r="N19" s="257">
        <v>0.1</v>
      </c>
      <c r="O19" s="257">
        <f t="shared" si="6"/>
        <v>1.55</v>
      </c>
      <c r="P19" s="258">
        <f t="shared" si="7"/>
        <v>59.849999999999994</v>
      </c>
      <c r="Q19" s="258">
        <f t="shared" si="8"/>
        <v>6.3000000000000007</v>
      </c>
      <c r="R19" s="258">
        <f t="shared" si="9"/>
        <v>8.3699999999999992</v>
      </c>
      <c r="S19" s="258">
        <f t="shared" si="10"/>
        <v>4.32</v>
      </c>
      <c r="T19" s="258">
        <f t="shared" si="11"/>
        <v>5.58</v>
      </c>
      <c r="U19" s="258">
        <f t="shared" si="12"/>
        <v>0.91349999999999998</v>
      </c>
      <c r="V19" s="258">
        <f t="shared" si="13"/>
        <v>36</v>
      </c>
      <c r="W19" s="259">
        <f t="shared" si="14"/>
        <v>21.599999999999998</v>
      </c>
    </row>
    <row r="20" spans="1:23" s="260" customFormat="1" ht="56.95" x14ac:dyDescent="0.3">
      <c r="A20" s="250">
        <v>12</v>
      </c>
      <c r="B20" s="251">
        <v>676685</v>
      </c>
      <c r="C20" s="251">
        <v>676812</v>
      </c>
      <c r="D20" s="252" t="s">
        <v>10</v>
      </c>
      <c r="E20" s="253">
        <f t="shared" ref="E20" si="15">C20-B20</f>
        <v>127</v>
      </c>
      <c r="F20" s="254">
        <f>E20</f>
        <v>127</v>
      </c>
      <c r="G20" s="254"/>
      <c r="H20" s="255" t="s">
        <v>155</v>
      </c>
      <c r="I20" s="256" t="s">
        <v>119</v>
      </c>
      <c r="J20" s="257">
        <v>0.6</v>
      </c>
      <c r="K20" s="257">
        <v>0.1</v>
      </c>
      <c r="L20" s="257">
        <v>0.15</v>
      </c>
      <c r="M20" s="257">
        <f t="shared" si="5"/>
        <v>1.55</v>
      </c>
      <c r="N20" s="257">
        <v>0.1</v>
      </c>
      <c r="O20" s="257">
        <f t="shared" si="6"/>
        <v>1.55</v>
      </c>
      <c r="P20" s="258">
        <f t="shared" si="7"/>
        <v>211.13749999999999</v>
      </c>
      <c r="Q20" s="258">
        <f t="shared" si="8"/>
        <v>22.225000000000001</v>
      </c>
      <c r="R20" s="258">
        <f t="shared" si="9"/>
        <v>29.527500000000003</v>
      </c>
      <c r="S20" s="258">
        <f t="shared" si="10"/>
        <v>15.24</v>
      </c>
      <c r="T20" s="258">
        <f t="shared" si="11"/>
        <v>19.685000000000002</v>
      </c>
      <c r="U20" s="258">
        <f t="shared" si="12"/>
        <v>3.2226250000000007</v>
      </c>
      <c r="V20" s="258">
        <f t="shared" si="13"/>
        <v>127</v>
      </c>
      <c r="W20" s="259">
        <f t="shared" si="14"/>
        <v>76.2</v>
      </c>
    </row>
    <row r="21" spans="1:23" s="271" customFormat="1" ht="22.25" x14ac:dyDescent="0.3">
      <c r="A21" s="283" t="s">
        <v>156</v>
      </c>
      <c r="B21" s="284"/>
      <c r="C21" s="284"/>
      <c r="D21" s="285"/>
      <c r="E21" s="286">
        <f>SUM(E12:E20)</f>
        <v>372</v>
      </c>
      <c r="F21" s="286">
        <f>SUM(F12:F20)</f>
        <v>372</v>
      </c>
      <c r="G21" s="286">
        <f>SUM(G12:G20)</f>
        <v>0</v>
      </c>
      <c r="H21" s="286"/>
      <c r="I21" s="287"/>
      <c r="J21" s="270"/>
      <c r="K21" s="270"/>
      <c r="L21" s="270"/>
      <c r="M21" s="270"/>
      <c r="N21" s="270"/>
      <c r="O21" s="270"/>
      <c r="P21" s="258"/>
      <c r="Q21" s="258"/>
      <c r="R21" s="258"/>
      <c r="S21" s="258"/>
      <c r="T21" s="258"/>
      <c r="U21" s="258"/>
      <c r="V21" s="258"/>
      <c r="W21" s="259"/>
    </row>
    <row r="22" spans="1:23" s="271" customFormat="1" ht="22.95" thickBot="1" x14ac:dyDescent="0.35">
      <c r="A22" s="288" t="s">
        <v>157</v>
      </c>
      <c r="B22" s="289"/>
      <c r="C22" s="289"/>
      <c r="D22" s="289"/>
      <c r="E22" s="290">
        <f>E10+E21</f>
        <v>432</v>
      </c>
      <c r="F22" s="290">
        <f>F10+F21</f>
        <v>432</v>
      </c>
      <c r="G22" s="290">
        <f>G10+G21</f>
        <v>0</v>
      </c>
      <c r="H22" s="290"/>
      <c r="I22" s="291"/>
      <c r="J22" s="292">
        <f t="shared" ref="J22:W22" si="16">SUM(J6:J21)</f>
        <v>8.1603999999999974</v>
      </c>
      <c r="K22" s="292">
        <f t="shared" si="16"/>
        <v>1.3</v>
      </c>
      <c r="L22" s="292">
        <f t="shared" si="16"/>
        <v>1.9499999999999995</v>
      </c>
      <c r="M22" s="292">
        <f t="shared" si="16"/>
        <v>20.150000000000006</v>
      </c>
      <c r="N22" s="292">
        <f t="shared" si="16"/>
        <v>1.3</v>
      </c>
      <c r="O22" s="292">
        <f t="shared" si="16"/>
        <v>20.150000000000006</v>
      </c>
      <c r="P22" s="292">
        <f t="shared" si="16"/>
        <v>756.04199999999992</v>
      </c>
      <c r="Q22" s="292">
        <f t="shared" si="16"/>
        <v>75.599999999999994</v>
      </c>
      <c r="R22" s="292">
        <f t="shared" si="16"/>
        <v>100.44</v>
      </c>
      <c r="S22" s="292">
        <f t="shared" si="16"/>
        <v>56.164800000000007</v>
      </c>
      <c r="T22" s="292">
        <f t="shared" si="16"/>
        <v>66.960000000000008</v>
      </c>
      <c r="U22" s="292">
        <f t="shared" si="16"/>
        <v>11.178240000000001</v>
      </c>
      <c r="V22" s="292">
        <f t="shared" si="16"/>
        <v>432</v>
      </c>
      <c r="W22" s="292">
        <f t="shared" si="16"/>
        <v>280.82400000000001</v>
      </c>
    </row>
    <row r="23" spans="1:23" ht="22.25" x14ac:dyDescent="0.3">
      <c r="A23" s="293"/>
      <c r="C23" s="294"/>
      <c r="E23" s="295"/>
      <c r="F23" s="296"/>
      <c r="G23" s="296"/>
      <c r="H23" s="296"/>
    </row>
    <row r="24" spans="1:23" ht="22.25" x14ac:dyDescent="0.3">
      <c r="A24" s="293"/>
      <c r="C24" s="294"/>
      <c r="E24" s="295"/>
      <c r="F24" s="296"/>
      <c r="G24" s="296"/>
      <c r="H24" s="296"/>
    </row>
  </sheetData>
  <mergeCells count="30">
    <mergeCell ref="A21:D21"/>
    <mergeCell ref="A22:D22"/>
    <mergeCell ref="U3:U4"/>
    <mergeCell ref="V3:V4"/>
    <mergeCell ref="W3:W4"/>
    <mergeCell ref="A5:I5"/>
    <mergeCell ref="A10:D10"/>
    <mergeCell ref="A11:I11"/>
    <mergeCell ref="O3:O4"/>
    <mergeCell ref="P3:P4"/>
    <mergeCell ref="Q3:Q4"/>
    <mergeCell ref="R3:R4"/>
    <mergeCell ref="S3:S4"/>
    <mergeCell ref="T3:T4"/>
    <mergeCell ref="I3:I4"/>
    <mergeCell ref="J3:J4"/>
    <mergeCell ref="K3:K4"/>
    <mergeCell ref="L3:L4"/>
    <mergeCell ref="M3:M4"/>
    <mergeCell ref="N3:N4"/>
    <mergeCell ref="A1:I1"/>
    <mergeCell ref="A2:I2"/>
    <mergeCell ref="J2:N2"/>
    <mergeCell ref="P2:W2"/>
    <mergeCell ref="A3:A4"/>
    <mergeCell ref="B3:C3"/>
    <mergeCell ref="D3:D4"/>
    <mergeCell ref="E3:E4"/>
    <mergeCell ref="F3:G3"/>
    <mergeCell ref="H3:H4"/>
  </mergeCells>
  <pageMargins left="0.70866141732283472" right="0.70866141732283472" top="0.74803149606299213" bottom="0.74803149606299213" header="0.31496062992125984" footer="0.31496062992125984"/>
  <pageSetup paperSize="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vt:lpstr>
      <vt:lpstr>PR41-BOQ-ABU-SWA-RJ </vt:lpstr>
      <vt:lpstr>M_sheet (Rutting) ABU-SWA-RJ</vt:lpstr>
      <vt:lpstr>PR42-BOQ-PA-ABU RJ</vt:lpstr>
      <vt:lpstr>M_sheet (Rutting GJ)-PA-ABU-RJ</vt:lpstr>
      <vt:lpstr>PR70-BOQ-ABU-SWA-02 RJ</vt:lpstr>
      <vt:lpstr>SR Flexible Pavement</vt:lpstr>
      <vt:lpstr>Junctions</vt:lpstr>
      <vt:lpstr>Line drain</vt:lpstr>
      <vt:lpstr>Rain Water Harvesting</vt:lpstr>
      <vt:lpstr>Cover!Print_Area</vt:lpstr>
      <vt:lpstr>Junctions!Print_Area</vt:lpstr>
      <vt:lpstr>'Line drain'!Print_Area</vt:lpstr>
      <vt:lpstr>'M_sheet (Rutting) ABU-SWA-RJ'!Print_Area</vt:lpstr>
      <vt:lpstr>'PR41-BOQ-ABU-SWA-RJ '!Print_Area</vt:lpstr>
      <vt:lpstr>'PR42-BOQ-PA-ABU RJ'!Print_Area</vt:lpstr>
      <vt:lpstr>'PR70-BOQ-ABU-SWA-02 RJ'!Print_Area</vt:lpstr>
      <vt:lpstr>'Line drain'!Print_Titles</vt:lpstr>
      <vt:lpstr>'M_sheet (Rutting GJ)-PA-ABU-RJ'!Print_Titles</vt:lpstr>
      <vt:lpstr>'M_sheet (Rutting) ABU-SWA-RJ'!Print_Titles</vt:lpstr>
      <vt:lpstr>'PR41-BOQ-ABU-SWA-RJ '!Print_Titles</vt:lpstr>
      <vt:lpstr>'PR70-BOQ-ABU-SWA-02 RJ'!Print_Titles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Shreejit Nair</dc:creator>
  <cp:lastModifiedBy>Sanjeev Kumar Sharma</cp:lastModifiedBy>
  <cp:lastPrinted>2026-03-12T14:01:16Z</cp:lastPrinted>
  <dcterms:created xsi:type="dcterms:W3CDTF">2026-02-13T10:19:20Z</dcterms:created>
  <dcterms:modified xsi:type="dcterms:W3CDTF">2026-03-12T14:02:46Z</dcterms:modified>
</cp:coreProperties>
</file>